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Accounting\Monthly Reports\"/>
    </mc:Choice>
  </mc:AlternateContent>
  <xr:revisionPtr revIDLastSave="0" documentId="13_ncr:1_{7234082F-17B4-4B7D-85A3-D727153E3121}" xr6:coauthVersionLast="47" xr6:coauthVersionMax="47" xr10:uidLastSave="{00000000-0000-0000-0000-000000000000}"/>
  <bookViews>
    <workbookView xWindow="-120" yWindow="-120" windowWidth="29040" windowHeight="15720" tabRatio="863" activeTab="3" xr2:uid="{00000000-000D-0000-FFFF-FFFF00000000}"/>
  </bookViews>
  <sheets>
    <sheet name="SUMMARY" sheetId="37" r:id="rId1"/>
    <sheet name="Rev" sheetId="76" r:id="rId2"/>
    <sheet name="EXP" sheetId="40" r:id="rId3"/>
    <sheet name="Depts" sheetId="77" r:id="rId4"/>
    <sheet name="Gaming" sheetId="79" r:id="rId5"/>
    <sheet name="REV Detail" sheetId="35" r:id="rId6"/>
    <sheet name="10, 20, 30, 35, 40 Detail" sheetId="16" r:id="rId7"/>
    <sheet name="Maint Detail" sheetId="10" r:id="rId8"/>
    <sheet name="GamDetail" sheetId="5" r:id="rId9"/>
    <sheet name="Instructions" sheetId="80" r:id="rId10"/>
  </sheets>
  <definedNames>
    <definedName name="_xlnm.Print_Area" localSheetId="3">Depts!$A$1:$H$106</definedName>
    <definedName name="_xlnm.Print_Area" localSheetId="2">EXP!$A$1:$H$32</definedName>
    <definedName name="_xlnm.Print_Area" localSheetId="4">Gaming!$A$1:$H$23</definedName>
    <definedName name="_xlnm.Print_Area" localSheetId="1">Rev!$A$1:$H$54</definedName>
    <definedName name="_xlnm.Print_Area" localSheetId="0">SUMMARY!$A$1:$G$24</definedName>
    <definedName name="_xlnm.Print_Titles" localSheetId="6">'10, 20, 30, 35, 40 Detail'!$1:$1</definedName>
    <definedName name="_xlnm.Print_Titles" localSheetId="3">Depts!$1:$1</definedName>
    <definedName name="_xlnm.Print_Titles" localSheetId="1">Rev!$1:$1</definedName>
    <definedName name="_xlnm.Print_Titles" localSheetId="5">'REV Detail'!$2:$3</definedName>
    <definedName name="_xlnm.Print_Titles" localSheetId="0">SUMMARY!$1:$1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76" l="1"/>
  <c r="D36" i="5"/>
  <c r="D37" i="5"/>
  <c r="E86" i="77"/>
  <c r="E75" i="77"/>
  <c r="E68" i="77"/>
  <c r="E68" i="16"/>
  <c r="E64" i="16"/>
  <c r="E59" i="16"/>
  <c r="E37" i="16"/>
  <c r="E32" i="76"/>
  <c r="E42" i="35"/>
  <c r="D38" i="5"/>
  <c r="E104" i="77"/>
  <c r="E105" i="77"/>
  <c r="E8" i="10" l="1"/>
  <c r="E54" i="16"/>
  <c r="E17" i="76"/>
  <c r="E4" i="76"/>
  <c r="E5" i="76"/>
  <c r="E6" i="76"/>
  <c r="E7" i="76"/>
  <c r="E8" i="76"/>
  <c r="E9" i="76"/>
  <c r="E10" i="76"/>
  <c r="E11" i="76"/>
  <c r="E12" i="76"/>
  <c r="E13" i="76"/>
  <c r="E14" i="76"/>
  <c r="E15" i="76"/>
  <c r="E16" i="76"/>
  <c r="E18" i="76"/>
  <c r="E19" i="76"/>
  <c r="E20" i="76"/>
  <c r="E21" i="76"/>
  <c r="E22" i="76"/>
  <c r="E23" i="76"/>
  <c r="E25" i="76"/>
  <c r="G105" i="77"/>
  <c r="F106" i="77"/>
  <c r="F54" i="16"/>
  <c r="H54" i="16"/>
  <c r="E38" i="77"/>
  <c r="E13" i="79"/>
  <c r="E34" i="76" l="1"/>
  <c r="G24" i="16"/>
  <c r="G25" i="16"/>
  <c r="G42" i="76"/>
  <c r="G53" i="76" s="1"/>
  <c r="G11" i="35"/>
  <c r="G21" i="40"/>
  <c r="G22" i="40"/>
  <c r="G23" i="40"/>
  <c r="E14" i="40"/>
  <c r="E48" i="77" l="1"/>
  <c r="E13" i="77"/>
  <c r="E21" i="77"/>
  <c r="F22" i="77"/>
  <c r="E22" i="77"/>
  <c r="E54" i="77"/>
  <c r="E55" i="77"/>
  <c r="E56" i="77"/>
  <c r="E57" i="77"/>
  <c r="E58" i="77"/>
  <c r="E59" i="77"/>
  <c r="E60" i="77"/>
  <c r="E61" i="77"/>
  <c r="G22" i="77" l="1"/>
  <c r="G22" i="37"/>
  <c r="G22" i="76"/>
  <c r="C63" i="77"/>
  <c r="D63" i="77"/>
  <c r="E63" i="77"/>
  <c r="G63" i="77" s="1"/>
  <c r="H29" i="35"/>
  <c r="H18" i="79"/>
  <c r="H18" i="76"/>
  <c r="H21" i="79"/>
  <c r="G24" i="40"/>
  <c r="G11" i="37"/>
  <c r="G17" i="37"/>
  <c r="G17" i="35" l="1"/>
  <c r="E30" i="40"/>
  <c r="D12" i="37" s="1"/>
  <c r="F30" i="40"/>
  <c r="E17" i="37" s="1"/>
  <c r="H30" i="40"/>
  <c r="G102" i="77"/>
  <c r="G98" i="77"/>
  <c r="G103" i="77"/>
  <c r="G82" i="77"/>
  <c r="G80" i="77"/>
  <c r="G6" i="5"/>
  <c r="G5" i="5"/>
  <c r="G33" i="16"/>
  <c r="G47" i="16"/>
  <c r="G34" i="16"/>
  <c r="G26" i="16"/>
  <c r="G27" i="16"/>
  <c r="G28" i="16"/>
  <c r="G29" i="16"/>
  <c r="G30" i="16"/>
  <c r="G31" i="16"/>
  <c r="G32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8" i="16"/>
  <c r="G49" i="16"/>
  <c r="G50" i="16"/>
  <c r="G51" i="16"/>
  <c r="G52" i="16"/>
  <c r="G53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5" i="16"/>
  <c r="G54" i="16" l="1"/>
  <c r="D17" i="37"/>
  <c r="F53" i="76"/>
  <c r="F17" i="37" l="1"/>
  <c r="G26" i="40"/>
  <c r="G27" i="40"/>
  <c r="G29" i="40"/>
  <c r="G18" i="40"/>
  <c r="G19" i="40"/>
  <c r="G20" i="40"/>
  <c r="G17" i="40"/>
  <c r="G30" i="40" l="1"/>
  <c r="G19" i="79"/>
  <c r="G20" i="79"/>
  <c r="G28" i="76" l="1"/>
  <c r="G17" i="76"/>
  <c r="G24" i="76"/>
  <c r="G32" i="76"/>
  <c r="G26" i="76"/>
  <c r="G25" i="76"/>
  <c r="G23" i="76"/>
  <c r="G21" i="76"/>
  <c r="G19" i="76"/>
  <c r="G20" i="76"/>
  <c r="G16" i="76"/>
  <c r="G15" i="76"/>
  <c r="G18" i="76"/>
  <c r="G27" i="76"/>
  <c r="G29" i="76"/>
  <c r="G31" i="76"/>
  <c r="G33" i="76"/>
  <c r="G14" i="76"/>
  <c r="G13" i="76"/>
  <c r="G12" i="76"/>
  <c r="G11" i="76"/>
  <c r="G10" i="76"/>
  <c r="G9" i="76"/>
  <c r="G8" i="76"/>
  <c r="G7" i="76"/>
  <c r="G6" i="76"/>
  <c r="G5" i="76"/>
  <c r="G97" i="77"/>
  <c r="G99" i="77"/>
  <c r="G96" i="77"/>
  <c r="E14" i="77"/>
  <c r="E10" i="77"/>
  <c r="C8" i="77"/>
  <c r="D8" i="77"/>
  <c r="E7" i="77"/>
  <c r="E6" i="77"/>
  <c r="E5" i="77"/>
  <c r="E36" i="77"/>
  <c r="G36" i="77" s="1"/>
  <c r="E31" i="77"/>
  <c r="E23" i="77"/>
  <c r="G23" i="77" s="1"/>
  <c r="G38" i="77"/>
  <c r="E37" i="77"/>
  <c r="G37" i="77" s="1"/>
  <c r="E35" i="77"/>
  <c r="G35" i="77" s="1"/>
  <c r="E34" i="77"/>
  <c r="G34" i="77" s="1"/>
  <c r="E33" i="77"/>
  <c r="G33" i="77" s="1"/>
  <c r="E32" i="77"/>
  <c r="G32" i="77" s="1"/>
  <c r="E30" i="77"/>
  <c r="G30" i="77" s="1"/>
  <c r="E29" i="77"/>
  <c r="G29" i="77" s="1"/>
  <c r="E28" i="77"/>
  <c r="G28" i="77" s="1"/>
  <c r="E27" i="77"/>
  <c r="G27" i="77" s="1"/>
  <c r="E26" i="77"/>
  <c r="G26" i="77" s="1"/>
  <c r="E25" i="77"/>
  <c r="G25" i="77" s="1"/>
  <c r="E24" i="77"/>
  <c r="G24" i="77" s="1"/>
  <c r="G21" i="77"/>
  <c r="E20" i="77"/>
  <c r="G20" i="77" s="1"/>
  <c r="E19" i="77"/>
  <c r="G19" i="77" s="1"/>
  <c r="E47" i="77"/>
  <c r="E46" i="77"/>
  <c r="E45" i="77"/>
  <c r="E44" i="77"/>
  <c r="E43" i="77"/>
  <c r="E42" i="77"/>
  <c r="E11" i="79"/>
  <c r="G11" i="79" s="1"/>
  <c r="E7" i="79"/>
  <c r="G7" i="79" s="1"/>
  <c r="G13" i="79"/>
  <c r="E16" i="79"/>
  <c r="G16" i="79" s="1"/>
  <c r="E18" i="79"/>
  <c r="G18" i="79" s="1"/>
  <c r="E17" i="79"/>
  <c r="G17" i="79" s="1"/>
  <c r="E15" i="79"/>
  <c r="G15" i="79" s="1"/>
  <c r="E14" i="79"/>
  <c r="G14" i="79" s="1"/>
  <c r="E12" i="79"/>
  <c r="G12" i="79" s="1"/>
  <c r="E10" i="79"/>
  <c r="G10" i="79" s="1"/>
  <c r="E9" i="79"/>
  <c r="G9" i="79" s="1"/>
  <c r="E8" i="79"/>
  <c r="G8" i="79" s="1"/>
  <c r="E6" i="79"/>
  <c r="G6" i="79" s="1"/>
  <c r="G87" i="77"/>
  <c r="G89" i="77"/>
  <c r="G90" i="77"/>
  <c r="G92" i="77"/>
  <c r="G91" i="77"/>
  <c r="G88" i="77"/>
  <c r="G86" i="77"/>
  <c r="E62" i="77"/>
  <c r="G62" i="77" s="1"/>
  <c r="G61" i="77"/>
  <c r="G60" i="77"/>
  <c r="G59" i="77"/>
  <c r="G58" i="77"/>
  <c r="G57" i="77"/>
  <c r="G56" i="77"/>
  <c r="G55" i="77"/>
  <c r="G54" i="77"/>
  <c r="G70" i="77"/>
  <c r="G71" i="77"/>
  <c r="G69" i="77"/>
  <c r="G72" i="77"/>
  <c r="G73" i="77"/>
  <c r="G74" i="77"/>
  <c r="G75" i="77"/>
  <c r="G68" i="77"/>
  <c r="G68" i="16"/>
  <c r="G64" i="16"/>
  <c r="G59" i="16"/>
  <c r="H74" i="16"/>
  <c r="G70" i="16"/>
  <c r="G62" i="16"/>
  <c r="G61" i="16"/>
  <c r="G60" i="16"/>
  <c r="G63" i="16"/>
  <c r="G65" i="16"/>
  <c r="G66" i="16"/>
  <c r="G67" i="16"/>
  <c r="G69" i="16"/>
  <c r="G71" i="16"/>
  <c r="G72" i="16"/>
  <c r="G73" i="16"/>
  <c r="G58" i="16"/>
  <c r="G57" i="16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22" i="5"/>
  <c r="G14" i="5"/>
  <c r="G15" i="5"/>
  <c r="G16" i="5"/>
  <c r="G17" i="5"/>
  <c r="G18" i="5"/>
  <c r="G19" i="5"/>
  <c r="G20" i="5"/>
  <c r="G21" i="5"/>
  <c r="G13" i="5"/>
  <c r="E22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6" i="10"/>
  <c r="H22" i="10"/>
  <c r="I42" i="16"/>
  <c r="I41" i="16"/>
  <c r="G4" i="76" l="1"/>
  <c r="D11" i="37"/>
  <c r="E49" i="77"/>
  <c r="G22" i="10"/>
  <c r="D5" i="37" l="1"/>
  <c r="F11" i="37"/>
  <c r="D13" i="37"/>
  <c r="G4" i="35"/>
  <c r="G5" i="35"/>
  <c r="G36" i="35"/>
  <c r="G7" i="35"/>
  <c r="G8" i="35"/>
  <c r="G9" i="35"/>
  <c r="G10" i="35"/>
  <c r="G12" i="35"/>
  <c r="G13" i="35"/>
  <c r="G14" i="35"/>
  <c r="G15" i="35"/>
  <c r="G16" i="35"/>
  <c r="G18" i="35"/>
  <c r="G19" i="35"/>
  <c r="G20" i="35"/>
  <c r="G21" i="35"/>
  <c r="G22" i="35"/>
  <c r="G23" i="35"/>
  <c r="G24" i="35"/>
  <c r="G25" i="35"/>
  <c r="G26" i="35"/>
  <c r="G27" i="35"/>
  <c r="G28" i="35"/>
  <c r="G30" i="35"/>
  <c r="G31" i="35"/>
  <c r="G32" i="35"/>
  <c r="G33" i="35"/>
  <c r="G34" i="35"/>
  <c r="G35" i="35"/>
  <c r="G37" i="35"/>
  <c r="G38" i="35"/>
  <c r="G39" i="35"/>
  <c r="G40" i="35"/>
  <c r="G41" i="35"/>
  <c r="G6" i="35"/>
  <c r="F22" i="10" l="1"/>
  <c r="D17" i="10"/>
  <c r="D12" i="10"/>
  <c r="D10" i="10"/>
  <c r="D7" i="10"/>
  <c r="D22" i="10" s="1"/>
  <c r="I68" i="16"/>
  <c r="F34" i="76" l="1"/>
  <c r="E5" i="37" s="1"/>
  <c r="F39" i="77" l="1"/>
  <c r="E39" i="77"/>
  <c r="E6" i="40" l="1"/>
  <c r="F42" i="35"/>
  <c r="E43" i="5"/>
  <c r="F43" i="5"/>
  <c r="G43" i="5"/>
  <c r="E8" i="37"/>
  <c r="E50" i="35"/>
  <c r="F50" i="35"/>
  <c r="G50" i="35"/>
  <c r="E38" i="76"/>
  <c r="F38" i="76"/>
  <c r="G38" i="76"/>
  <c r="H38" i="76"/>
  <c r="E53" i="76"/>
  <c r="H43" i="5" l="1"/>
  <c r="H50" i="35" l="1"/>
  <c r="F15" i="40"/>
  <c r="E16" i="37" s="1"/>
  <c r="E59" i="35"/>
  <c r="F76" i="77"/>
  <c r="F6" i="37"/>
  <c r="F8" i="37" s="1"/>
  <c r="F21" i="79"/>
  <c r="E23" i="37" s="1"/>
  <c r="E21" i="79"/>
  <c r="E106" i="77"/>
  <c r="F100" i="77"/>
  <c r="E100" i="77"/>
  <c r="E93" i="77"/>
  <c r="E11" i="40" s="1"/>
  <c r="G93" i="77"/>
  <c r="F93" i="77"/>
  <c r="H93" i="77"/>
  <c r="F83" i="77"/>
  <c r="G83" i="77"/>
  <c r="E83" i="77"/>
  <c r="E10" i="40" s="1"/>
  <c r="E76" i="77"/>
  <c r="E9" i="40" s="1"/>
  <c r="E65" i="77"/>
  <c r="E7" i="40" s="1"/>
  <c r="F65" i="77"/>
  <c r="E50" i="77"/>
  <c r="E8" i="40" s="1"/>
  <c r="F50" i="77"/>
  <c r="F16" i="77" l="1"/>
  <c r="E10" i="5"/>
  <c r="F74" i="16"/>
  <c r="E74" i="16"/>
  <c r="I72" i="16"/>
  <c r="I66" i="16"/>
  <c r="I53" i="16"/>
  <c r="I51" i="16"/>
  <c r="E20" i="16"/>
  <c r="I18" i="16"/>
  <c r="I73" i="16" l="1"/>
  <c r="I71" i="16"/>
  <c r="I69" i="16"/>
  <c r="I67" i="16"/>
  <c r="I65" i="16"/>
  <c r="I64" i="16"/>
  <c r="I63" i="16"/>
  <c r="I60" i="16"/>
  <c r="I58" i="16"/>
  <c r="I57" i="16"/>
  <c r="I52" i="16"/>
  <c r="I50" i="16"/>
  <c r="I49" i="16"/>
  <c r="I46" i="16"/>
  <c r="I45" i="16"/>
  <c r="I44" i="16"/>
  <c r="I43" i="16"/>
  <c r="I40" i="16"/>
  <c r="I39" i="16"/>
  <c r="I38" i="16"/>
  <c r="I37" i="16"/>
  <c r="I36" i="16"/>
  <c r="I35" i="16"/>
  <c r="I34" i="16"/>
  <c r="I33" i="16"/>
  <c r="I32" i="16"/>
  <c r="I31" i="16"/>
  <c r="I30" i="16"/>
  <c r="I27" i="16"/>
  <c r="I26" i="16"/>
  <c r="I25" i="16"/>
  <c r="I24" i="16"/>
  <c r="I17" i="16"/>
  <c r="I16" i="16"/>
  <c r="I15" i="16"/>
  <c r="I13" i="16"/>
  <c r="I9" i="16"/>
  <c r="I4" i="16"/>
  <c r="F10" i="5"/>
  <c r="F59" i="35"/>
  <c r="F20" i="16" l="1"/>
  <c r="H59" i="35"/>
  <c r="G58" i="35"/>
  <c r="G57" i="35"/>
  <c r="G56" i="35"/>
  <c r="G9" i="77"/>
  <c r="G6" i="77"/>
  <c r="H12" i="76"/>
  <c r="H8" i="76"/>
  <c r="H5" i="76"/>
  <c r="H33" i="76"/>
  <c r="H14" i="40"/>
  <c r="H42" i="35" l="1"/>
  <c r="G29" i="35"/>
  <c r="G42" i="35" s="1"/>
  <c r="H22" i="76"/>
  <c r="H43" i="77"/>
  <c r="G50" i="77" s="1"/>
  <c r="H12" i="77" l="1"/>
  <c r="G12" i="77" s="1"/>
  <c r="H100" i="77"/>
  <c r="G100" i="77" s="1"/>
  <c r="H104" i="77"/>
  <c r="G104" i="77" s="1"/>
  <c r="G101" i="77"/>
  <c r="H50" i="77"/>
  <c r="H83" i="77"/>
  <c r="H14" i="16"/>
  <c r="H12" i="16"/>
  <c r="H7" i="16"/>
  <c r="H10" i="5"/>
  <c r="H20" i="16" l="1"/>
  <c r="H11" i="40"/>
  <c r="H76" i="77"/>
  <c r="H31" i="77"/>
  <c r="H16" i="77"/>
  <c r="H5" i="40" s="1"/>
  <c r="H106" i="77"/>
  <c r="H39" i="77" l="1"/>
  <c r="G31" i="77"/>
  <c r="G39" i="77" s="1"/>
  <c r="H65" i="77"/>
  <c r="H7" i="40" s="1"/>
  <c r="H15" i="40" s="1"/>
  <c r="G7" i="37" l="1"/>
  <c r="G8" i="37" s="1"/>
  <c r="G12" i="37" s="1"/>
  <c r="G16" i="37"/>
  <c r="G18" i="37" s="1"/>
  <c r="H23" i="79"/>
  <c r="G23" i="37"/>
  <c r="G24" i="37" s="1"/>
  <c r="G15" i="40"/>
  <c r="D10" i="5" l="1"/>
  <c r="E4" i="79" s="1"/>
  <c r="G7" i="5"/>
  <c r="D71" i="16"/>
  <c r="D65" i="16"/>
  <c r="D58" i="16"/>
  <c r="G4" i="79" l="1"/>
  <c r="D22" i="37"/>
  <c r="D43" i="5"/>
  <c r="G10" i="5"/>
  <c r="D74" i="16"/>
  <c r="G74" i="16"/>
  <c r="D33" i="16"/>
  <c r="D26" i="16"/>
  <c r="D25" i="16"/>
  <c r="D9" i="16"/>
  <c r="D5" i="16"/>
  <c r="D23" i="37" l="1"/>
  <c r="F23" i="37" s="1"/>
  <c r="E27" i="79"/>
  <c r="F22" i="37"/>
  <c r="D20" i="16"/>
  <c r="D54" i="16"/>
  <c r="D54" i="35"/>
  <c r="D59" i="35" s="1"/>
  <c r="G52" i="35"/>
  <c r="D50" i="35"/>
  <c r="D24" i="37" l="1"/>
  <c r="G59" i="35"/>
  <c r="D34" i="35"/>
  <c r="D42" i="35" s="1"/>
  <c r="D20" i="79" l="1"/>
  <c r="C20" i="79"/>
  <c r="D19" i="79"/>
  <c r="C19" i="79"/>
  <c r="D18" i="79"/>
  <c r="C18" i="79"/>
  <c r="D17" i="79"/>
  <c r="C17" i="79"/>
  <c r="D14" i="79"/>
  <c r="C14" i="79"/>
  <c r="D13" i="79"/>
  <c r="C13" i="79"/>
  <c r="D12" i="79" l="1"/>
  <c r="D11" i="79"/>
  <c r="C11" i="79"/>
  <c r="D10" i="79"/>
  <c r="C10" i="79"/>
  <c r="D7" i="79" l="1"/>
  <c r="C7" i="79"/>
  <c r="D6" i="79"/>
  <c r="C6" i="79"/>
  <c r="D4" i="79"/>
  <c r="C4" i="79"/>
  <c r="E23" i="79" l="1"/>
  <c r="G21" i="79"/>
  <c r="D21" i="79"/>
  <c r="C21" i="79" s="1"/>
  <c r="D106" i="77"/>
  <c r="C106" i="77"/>
  <c r="D100" i="77"/>
  <c r="C100" i="77"/>
  <c r="C93" i="77"/>
  <c r="D91" i="77"/>
  <c r="D86" i="77"/>
  <c r="D83" i="77"/>
  <c r="C83" i="77"/>
  <c r="D75" i="77"/>
  <c r="C75" i="77"/>
  <c r="D68" i="77"/>
  <c r="D60" i="77"/>
  <c r="C60" i="77"/>
  <c r="D59" i="77"/>
  <c r="C59" i="77"/>
  <c r="D57" i="77"/>
  <c r="C57" i="77"/>
  <c r="D56" i="77"/>
  <c r="C56" i="77"/>
  <c r="D76" i="77" l="1"/>
  <c r="C76" i="77" s="1"/>
  <c r="D93" i="77"/>
  <c r="G76" i="77"/>
  <c r="G106" i="77"/>
  <c r="D55" i="77"/>
  <c r="D54" i="77" l="1"/>
  <c r="C54" i="77"/>
  <c r="C65" i="77" s="1"/>
  <c r="D65" i="77" l="1"/>
  <c r="G65" i="77"/>
  <c r="D48" i="77"/>
  <c r="C48" i="77"/>
  <c r="D43" i="77"/>
  <c r="C43" i="77"/>
  <c r="D42" i="77" l="1"/>
  <c r="D50" i="77" s="1"/>
  <c r="C42" i="77"/>
  <c r="C50" i="77" s="1"/>
  <c r="D35" i="77"/>
  <c r="C35" i="77"/>
  <c r="D34" i="77"/>
  <c r="D32" i="77"/>
  <c r="C32" i="77"/>
  <c r="D31" i="77"/>
  <c r="C31" i="77"/>
  <c r="D30" i="77"/>
  <c r="C30" i="77"/>
  <c r="D29" i="77"/>
  <c r="C29" i="77"/>
  <c r="D26" i="77"/>
  <c r="C26" i="77"/>
  <c r="D25" i="77"/>
  <c r="C25" i="77"/>
  <c r="D24" i="77" l="1"/>
  <c r="C24" i="77"/>
  <c r="D21" i="77"/>
  <c r="C21" i="77"/>
  <c r="C20" i="77"/>
  <c r="D19" i="77"/>
  <c r="C19" i="77"/>
  <c r="D15" i="77"/>
  <c r="C15" i="77"/>
  <c r="D14" i="77"/>
  <c r="C14" i="77"/>
  <c r="D13" i="77"/>
  <c r="C13" i="77"/>
  <c r="D12" i="77"/>
  <c r="C12" i="77"/>
  <c r="D11" i="77"/>
  <c r="C11" i="77"/>
  <c r="D10" i="77"/>
  <c r="C10" i="77"/>
  <c r="D39" i="77" l="1"/>
  <c r="C39" i="77"/>
  <c r="G15" i="77"/>
  <c r="D9" i="77"/>
  <c r="C9" i="77"/>
  <c r="D7" i="77"/>
  <c r="C7" i="77"/>
  <c r="D6" i="77" l="1"/>
  <c r="C6" i="77"/>
  <c r="G16" i="77" l="1"/>
  <c r="E16" i="77"/>
  <c r="D5" i="77"/>
  <c r="D16" i="77" s="1"/>
  <c r="C5" i="77"/>
  <c r="C16" i="77" s="1"/>
  <c r="D30" i="40"/>
  <c r="E5" i="40" l="1"/>
  <c r="G13" i="37"/>
  <c r="C17" i="40"/>
  <c r="C30" i="40" s="1"/>
  <c r="D14" i="40" l="1"/>
  <c r="C14" i="40"/>
  <c r="D29" i="40"/>
  <c r="C29" i="40"/>
  <c r="D13" i="40"/>
  <c r="C13" i="40" s="1"/>
  <c r="D12" i="40"/>
  <c r="C12" i="40" s="1"/>
  <c r="D11" i="40"/>
  <c r="C11" i="40" s="1"/>
  <c r="D10" i="40"/>
  <c r="C10" i="40" s="1"/>
  <c r="D9" i="40"/>
  <c r="C9" i="40" s="1"/>
  <c r="D8" i="40"/>
  <c r="C8" i="40" s="1"/>
  <c r="D7" i="40"/>
  <c r="C7" i="40" s="1"/>
  <c r="D6" i="40"/>
  <c r="C6" i="40"/>
  <c r="D5" i="40"/>
  <c r="C5" i="40" s="1"/>
  <c r="C15" i="40" s="1"/>
  <c r="D15" i="40" l="1"/>
  <c r="E15" i="40"/>
  <c r="D7" i="37" l="1"/>
  <c r="D8" i="37" s="1"/>
  <c r="D16" i="37"/>
  <c r="D53" i="76"/>
  <c r="D36" i="76"/>
  <c r="D33" i="76"/>
  <c r="D32" i="76"/>
  <c r="D29" i="76"/>
  <c r="D28" i="76"/>
  <c r="F16" i="37" l="1"/>
  <c r="F18" i="37" s="1"/>
  <c r="D18" i="37"/>
  <c r="D38" i="76"/>
  <c r="D26" i="76" l="1"/>
  <c r="D25" i="76" l="1"/>
  <c r="D24" i="76" l="1"/>
  <c r="D23" i="76"/>
  <c r="D22" i="76"/>
  <c r="D19" i="76"/>
  <c r="D17" i="76" l="1"/>
  <c r="D16" i="76"/>
  <c r="D15" i="76"/>
  <c r="D14" i="76"/>
  <c r="D13" i="76"/>
  <c r="D12" i="76"/>
  <c r="D11" i="76" l="1"/>
  <c r="D10" i="76"/>
  <c r="D8" i="76"/>
  <c r="D7" i="76"/>
  <c r="D6" i="76"/>
  <c r="D5" i="76" l="1"/>
  <c r="D4" i="76"/>
  <c r="D34" i="76" l="1"/>
  <c r="C23" i="37"/>
  <c r="B23" i="37"/>
  <c r="C22" i="37"/>
  <c r="B22" i="37"/>
  <c r="C20" i="37"/>
  <c r="B24" i="37" l="1"/>
  <c r="C12" i="37" l="1"/>
  <c r="B11" i="37"/>
  <c r="B12" i="37" l="1"/>
  <c r="C17" i="37"/>
  <c r="B17" i="37" l="1"/>
  <c r="C7" i="37"/>
  <c r="B6" i="37"/>
  <c r="C5" i="37"/>
  <c r="B5" i="37"/>
  <c r="B7" i="37" l="1"/>
  <c r="C16" i="37"/>
  <c r="B16" i="37" l="1"/>
  <c r="B8" i="37"/>
  <c r="C6" i="37" l="1"/>
  <c r="C8" i="37" s="1"/>
  <c r="C11" i="37"/>
  <c r="C13" i="37" s="1"/>
  <c r="B13" i="37"/>
  <c r="C18" i="37"/>
  <c r="B18" i="37"/>
  <c r="C24" i="37"/>
  <c r="F24" i="37" l="1"/>
  <c r="E24" i="37"/>
  <c r="E13" i="37"/>
  <c r="E18" i="37" l="1"/>
  <c r="G20" i="16"/>
  <c r="F13" i="37"/>
  <c r="H34" i="76"/>
  <c r="H53" i="7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sespelin</author>
  </authors>
  <commentList>
    <comment ref="D2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sespelin:</t>
        </r>
        <r>
          <rPr>
            <sz val="8"/>
            <color indexed="81"/>
            <rFont val="Tahoma"/>
            <family val="2"/>
          </rPr>
          <t xml:space="preserve">
dumpted self ins here</t>
        </r>
      </text>
    </comment>
  </commentList>
</comments>
</file>

<file path=xl/sharedStrings.xml><?xml version="1.0" encoding="utf-8"?>
<sst xmlns="http://schemas.openxmlformats.org/spreadsheetml/2006/main" count="645" uniqueCount="448">
  <si>
    <t>account number</t>
  </si>
  <si>
    <t>description</t>
  </si>
  <si>
    <t>Entertainment</t>
  </si>
  <si>
    <t>miscellaneous supplies</t>
  </si>
  <si>
    <t>transfer to general fund</t>
  </si>
  <si>
    <t>DMV</t>
  </si>
  <si>
    <t>wages-pulltabs</t>
  </si>
  <si>
    <t>pull tab supplies</t>
  </si>
  <si>
    <t>bingo supplies</t>
  </si>
  <si>
    <t>bingo prize payouts</t>
  </si>
  <si>
    <t>cash over and short</t>
  </si>
  <si>
    <t>transfer to scholarship</t>
  </si>
  <si>
    <t>OTHER - BUECI utility credits</t>
  </si>
  <si>
    <t>OTHER - miscellaneous income</t>
  </si>
  <si>
    <t>OTHER - transfer from bingo fund</t>
  </si>
  <si>
    <t>GENERAL FUND REVENUE</t>
  </si>
  <si>
    <t>Supplies</t>
  </si>
  <si>
    <t>Office Supplies</t>
  </si>
  <si>
    <t xml:space="preserve"> TOTAL COUNCIL EXPENSE</t>
  </si>
  <si>
    <t xml:space="preserve"> TOTAL ADMIN EXPENSE</t>
  </si>
  <si>
    <t>GENERAL FUND REVENUE TOTAL</t>
  </si>
  <si>
    <t>DISTRIBUTION</t>
  </si>
  <si>
    <t>Total City Budget amount</t>
  </si>
  <si>
    <t>G E N E R A L   F U N D   R E V E N U E</t>
  </si>
  <si>
    <t>Postage (and freight)</t>
  </si>
  <si>
    <t>CITY COUNCIL EXPENSES</t>
  </si>
  <si>
    <t>ADMINISTRATION      EXPENSES</t>
  </si>
  <si>
    <t>OTHER - interest income - AMLIP &amp; WF</t>
  </si>
  <si>
    <t>GENERAL FUND EXPENSES</t>
  </si>
  <si>
    <t>GAMING REVENUE</t>
  </si>
  <si>
    <t>GAMING EXPENSES</t>
  </si>
  <si>
    <t>SALES - SKW gravel royalties</t>
  </si>
  <si>
    <t>pulltabs benefit</t>
  </si>
  <si>
    <t xml:space="preserve">  TOTAL RECREATION EXPENSE</t>
  </si>
  <si>
    <t>Maintenance Department</t>
  </si>
  <si>
    <t>RECREATION EXPENSES</t>
  </si>
  <si>
    <t>DMV Department</t>
  </si>
  <si>
    <t>Distribution Department</t>
  </si>
  <si>
    <t>Concessions Department</t>
  </si>
  <si>
    <t>Pers Assistance</t>
  </si>
  <si>
    <t xml:space="preserve"> R E V E N U E   S U M M A R Y        </t>
  </si>
  <si>
    <t xml:space="preserve">                                                                            </t>
  </si>
  <si>
    <t>GAMING ACCOUNT</t>
  </si>
  <si>
    <t>Acct Num</t>
  </si>
  <si>
    <t>Description</t>
  </si>
  <si>
    <t>TOTALS</t>
  </si>
  <si>
    <t>Lot Sales</t>
  </si>
  <si>
    <t>Sales Tax Dist. Center</t>
  </si>
  <si>
    <t>Tax-Bed Tax</t>
  </si>
  <si>
    <t>Total Maintenance Expenses</t>
  </si>
  <si>
    <t>Contractual Services</t>
  </si>
  <si>
    <t>03-08-63-4000</t>
  </si>
  <si>
    <t xml:space="preserve">REVENUE  </t>
  </si>
  <si>
    <t>EXPENSES</t>
  </si>
  <si>
    <t>General Fund Total Expenses</t>
  </si>
  <si>
    <t>Taxicab fines</t>
  </si>
  <si>
    <t>Facilities Rent</t>
  </si>
  <si>
    <t>Councils Benefits</t>
  </si>
  <si>
    <t>Professional Services</t>
  </si>
  <si>
    <t>Wages, Taxes &amp; Benefits</t>
  </si>
  <si>
    <t>Wages &amp; Insurance</t>
  </si>
  <si>
    <t>Utilities</t>
  </si>
  <si>
    <t>Wages, Benefits &amp; Taxes</t>
  </si>
  <si>
    <t>Gaming Revenue</t>
  </si>
  <si>
    <t>Wages, Benefits &amp; Insurance</t>
  </si>
  <si>
    <t>Contract Services</t>
  </si>
  <si>
    <t>GENERAL FUND GRANTS REVENUE TOTAL</t>
  </si>
  <si>
    <t>CITY COUNCIL</t>
  </si>
  <si>
    <t>ADMINISTRATION</t>
  </si>
  <si>
    <t>RECREATION</t>
  </si>
  <si>
    <t>Total DMV Expenses</t>
  </si>
  <si>
    <t>Total Taxicab Commission Expenses</t>
  </si>
  <si>
    <t>Total Distribution Expenses</t>
  </si>
  <si>
    <t>Special Events Donations</t>
  </si>
  <si>
    <t>Scholorship Donations</t>
  </si>
  <si>
    <t>Little Dribblers</t>
  </si>
  <si>
    <t>Ice Rink</t>
  </si>
  <si>
    <t>CONTRIBUTIONS</t>
  </si>
  <si>
    <t>TotalGF Maintenance Expenses</t>
  </si>
  <si>
    <t>SPECIAL PROJECT GRANT REVENUE TOTAL</t>
  </si>
  <si>
    <t>SPECIAL PROJECT GRANT REVENUE</t>
  </si>
  <si>
    <t>SPECIAL PROJECT GRANT EXPENSES</t>
  </si>
  <si>
    <t>Special Project Grant Total Expenses</t>
  </si>
  <si>
    <t>SPECIAL PROJECTS</t>
  </si>
  <si>
    <t>Bingo benefits</t>
  </si>
  <si>
    <t>Insurance</t>
  </si>
  <si>
    <t>MAINTENANCE</t>
  </si>
  <si>
    <t>O&amp;M GRANT REVENUE</t>
  </si>
  <si>
    <t>1)</t>
  </si>
  <si>
    <t>2)</t>
  </si>
  <si>
    <t>If the tab name contains "Detail", you DO NOT PRINT this tab for the Council Budget.</t>
  </si>
  <si>
    <t>3)</t>
  </si>
  <si>
    <t>4)</t>
  </si>
  <si>
    <t>Instructions for this workbook</t>
  </si>
  <si>
    <t>5)</t>
  </si>
  <si>
    <t>Do not print THIS PAGE as part of the budget reports.</t>
  </si>
  <si>
    <t>MAINTENANCE EXPENSES</t>
  </si>
  <si>
    <t>Insurance Benefits</t>
  </si>
  <si>
    <t xml:space="preserve">Equipment  </t>
  </si>
  <si>
    <t>Summer Youth Cleanup</t>
  </si>
  <si>
    <t>Insurance and Bonding Expense</t>
  </si>
  <si>
    <t>Sales-Concessions</t>
  </si>
  <si>
    <t>Sales-DMV</t>
  </si>
  <si>
    <t>TAXICAB</t>
  </si>
  <si>
    <t>SPECIAL PROJECTS GRANT REVENUE TOTAL</t>
  </si>
  <si>
    <t>GAMING REVENUE &amp; EXPENSE</t>
  </si>
  <si>
    <t>TO PRINT REPORTS FOR THE COUNCIL</t>
  </si>
  <si>
    <t xml:space="preserve">Press and hold the "Ctrl" key; use your mouse to click on each of the first five pages--keep </t>
  </si>
  <si>
    <t>holding the "Ctrl" key while you click on each page</t>
  </si>
  <si>
    <t>Equip Purchase</t>
  </si>
  <si>
    <t>Transfer to Lil Dribblers</t>
  </si>
  <si>
    <t>O&amp;M GRANT REVENUE TOTAL</t>
  </si>
  <si>
    <t>Special Events</t>
  </si>
  <si>
    <t>Bed Tax</t>
  </si>
  <si>
    <t>Property Lease</t>
  </si>
  <si>
    <t>Council Expenses</t>
  </si>
  <si>
    <t>Administration</t>
  </si>
  <si>
    <t>Recreation Department</t>
  </si>
  <si>
    <t>GENERAL FUND-INCLUDING O&amp;M GRANT</t>
  </si>
  <si>
    <t>GRANTS-EXCEPT FOR O&amp;M GRANT</t>
  </si>
  <si>
    <t>Wages</t>
  </si>
  <si>
    <t>Payment in Lieu of Taxes</t>
  </si>
  <si>
    <t>Tax-Tobacco Tax</t>
  </si>
  <si>
    <t>Sales-Gravel Royalties</t>
  </si>
  <si>
    <t>Elec/Phone Coop Tax</t>
  </si>
  <si>
    <t>Other-BUECI Utility Credits</t>
  </si>
  <si>
    <t>YTD Actuals   Mar-13</t>
  </si>
  <si>
    <t>OPERATING GRANT REVENUE</t>
  </si>
  <si>
    <t>Print the first FIVE tabs (RED colored tabs) for the Council Budget reports.</t>
  </si>
  <si>
    <t>Wages Council</t>
  </si>
  <si>
    <t>Revenue Minus Expenses</t>
  </si>
  <si>
    <t xml:space="preserve">Travel &amp; Per Diem </t>
  </si>
  <si>
    <t>Training  (Council &amp; Clerk)</t>
  </si>
  <si>
    <t>Advertising and Printing</t>
  </si>
  <si>
    <t>Dues and Subscription</t>
  </si>
  <si>
    <t xml:space="preserve">Gifts and Contributions </t>
  </si>
  <si>
    <t>Election Expenses</t>
  </si>
  <si>
    <t>Postage (and Freight)</t>
  </si>
  <si>
    <t>Miscellaneous Expense</t>
  </si>
  <si>
    <t>Wages, Taxes and Benefits</t>
  </si>
  <si>
    <t>Dues and Subscriptions</t>
  </si>
  <si>
    <t>Gifts / Contributions</t>
  </si>
  <si>
    <t>Supplies (Office &amp; Rec)</t>
  </si>
  <si>
    <t>Travel / Per Diem / Tuition</t>
  </si>
  <si>
    <t xml:space="preserve">Building Maintenance </t>
  </si>
  <si>
    <t>Salaries and Benefits</t>
  </si>
  <si>
    <t>State of Alaska Fees</t>
  </si>
  <si>
    <t>Taxicab Commission</t>
  </si>
  <si>
    <t>Miscellaneous Supplies</t>
  </si>
  <si>
    <t>Insurance Benefits (Grant Funded)</t>
  </si>
  <si>
    <t>Utilities - Water - Distribution</t>
  </si>
  <si>
    <t>Cash Over and Short</t>
  </si>
  <si>
    <t>Transfer to General Fund</t>
  </si>
  <si>
    <t>Transfer to Scholarship</t>
  </si>
  <si>
    <t>Eben Hopson Scholarship Revenue</t>
  </si>
  <si>
    <t>Little Dribblers Revenue</t>
  </si>
  <si>
    <t>Little Dribblers Expenses</t>
  </si>
  <si>
    <t>Total Contribution Revenue</t>
  </si>
  <si>
    <t>Scholarship Expense</t>
  </si>
  <si>
    <t>Total Contribution Expense</t>
  </si>
  <si>
    <t xml:space="preserve"> Total Council Expense</t>
  </si>
  <si>
    <t xml:space="preserve"> Total Administrative Expense</t>
  </si>
  <si>
    <t xml:space="preserve">  Total Recreation Expense</t>
  </si>
  <si>
    <t>Total General Fund Expense</t>
  </si>
  <si>
    <t xml:space="preserve"> Total Special Purpose Grant Expense</t>
  </si>
  <si>
    <t>City Pins and Brochures</t>
  </si>
  <si>
    <t>Blue Ribbon Commissions &amp; Entertainment</t>
  </si>
  <si>
    <t>Council Honorarium</t>
  </si>
  <si>
    <t>Insurance &amp; Bonding</t>
  </si>
  <si>
    <t>Postage</t>
  </si>
  <si>
    <t>Utilities - City Hall Water</t>
  </si>
  <si>
    <t>Utilities - City Hall G &amp; E</t>
  </si>
  <si>
    <t>Equipment Purchase</t>
  </si>
  <si>
    <t>Administration Travel / Per Diem</t>
  </si>
  <si>
    <t>Fuel - Adj. for Possible Increase</t>
  </si>
  <si>
    <t>Contracual Services</t>
  </si>
  <si>
    <t>Insurance Benfits</t>
  </si>
  <si>
    <t>Account Number</t>
  </si>
  <si>
    <t>DISTRIBUTION HANDLING FEES</t>
  </si>
  <si>
    <t>Tax - Tobacco Tax</t>
  </si>
  <si>
    <t>TAX - Elect / Tel Coop Tax</t>
  </si>
  <si>
    <t>Distribution Cntr Permits</t>
  </si>
  <si>
    <t>Community Center Rent</t>
  </si>
  <si>
    <t>Council Chamber Rent</t>
  </si>
  <si>
    <t>Rec Center Rent</t>
  </si>
  <si>
    <t>Rec Center Membership</t>
  </si>
  <si>
    <t xml:space="preserve">State of Alaska DMV </t>
  </si>
  <si>
    <t>Business Licenses and Permits</t>
  </si>
  <si>
    <t xml:space="preserve">Taxicab License &amp; Permits </t>
  </si>
  <si>
    <t>Summer Youth Program Fees</t>
  </si>
  <si>
    <t>Other - Miscellaneous Income</t>
  </si>
  <si>
    <t>Other-Transfer from Bingo Fund</t>
  </si>
  <si>
    <t>Other-Interest Income-AMLIP &amp; WF</t>
  </si>
  <si>
    <t>Gas &amp; Electric</t>
  </si>
  <si>
    <t>Bingo</t>
  </si>
  <si>
    <t>Pull Tabs</t>
  </si>
  <si>
    <t>Permits and Licenses</t>
  </si>
  <si>
    <t>Federal Taxes</t>
  </si>
  <si>
    <t>Fines, penalties, and interest</t>
  </si>
  <si>
    <t>Professional Fees - Audit</t>
  </si>
  <si>
    <t>Bingo Hall Utilities</t>
  </si>
  <si>
    <t>Over / Short and Theft / Loss</t>
  </si>
  <si>
    <t>Benefits</t>
  </si>
  <si>
    <t>Vehicle Fuel</t>
  </si>
  <si>
    <t>Consultation Fees - Attorney</t>
  </si>
  <si>
    <t>Heating Fuel</t>
  </si>
  <si>
    <t>City Archive Project</t>
  </si>
  <si>
    <t>contract Jantitorial</t>
  </si>
  <si>
    <t>ASRC Summer Youth Contribution</t>
  </si>
  <si>
    <t>ASRC Summer Youth Grant</t>
  </si>
  <si>
    <t>Concessions</t>
  </si>
  <si>
    <t>YTD Actuals Mar-15</t>
  </si>
  <si>
    <t>NSB Summer Cleanup</t>
  </si>
  <si>
    <t>90-7510-4050</t>
  </si>
  <si>
    <t>90-7520-4051</t>
  </si>
  <si>
    <t>90-7510-6000</t>
  </si>
  <si>
    <t>90-7520-6000</t>
  </si>
  <si>
    <t>90-7520-6001</t>
  </si>
  <si>
    <t>90-7520-6570</t>
  </si>
  <si>
    <t>90-7510-6570</t>
  </si>
  <si>
    <t>pull tab payouts</t>
  </si>
  <si>
    <t>pull tab playbacks</t>
  </si>
  <si>
    <t>90-7520-6815</t>
  </si>
  <si>
    <t>90-7520-6820</t>
  </si>
  <si>
    <t>90-7510-6815</t>
  </si>
  <si>
    <t>90-7510-6440</t>
  </si>
  <si>
    <t>90-7520-6835</t>
  </si>
  <si>
    <t>90-7520-6830</t>
  </si>
  <si>
    <t>90-75X0-6540</t>
  </si>
  <si>
    <t>90-7520-6825</t>
  </si>
  <si>
    <t>Cost of Sales</t>
  </si>
  <si>
    <t>10-1000</t>
  </si>
  <si>
    <t>10-1500</t>
  </si>
  <si>
    <t>10-2000-XXXX</t>
  </si>
  <si>
    <t>10-2500-XXXX</t>
  </si>
  <si>
    <t>10-1500-4000</t>
  </si>
  <si>
    <t>10-1500-4001</t>
  </si>
  <si>
    <t>10-1500-4002</t>
  </si>
  <si>
    <t>10-1500-4003</t>
  </si>
  <si>
    <t>10-1500-4004</t>
  </si>
  <si>
    <t>10-1500-4006</t>
  </si>
  <si>
    <t>10-1500-4014</t>
  </si>
  <si>
    <t>10-1500-4015</t>
  </si>
  <si>
    <t>10-1500-4016</t>
  </si>
  <si>
    <t>10-1500-4025</t>
  </si>
  <si>
    <t>Other Revenue</t>
  </si>
  <si>
    <t>10-1500-4800</t>
  </si>
  <si>
    <t>10-1500-4018</t>
  </si>
  <si>
    <t>10-3000-4005</t>
  </si>
  <si>
    <t>10-3500-4023</t>
  </si>
  <si>
    <t>10-3500-4024</t>
  </si>
  <si>
    <t>10-4000-4009</t>
  </si>
  <si>
    <t>10-4000-4010</t>
  </si>
  <si>
    <t>10-5045-4100</t>
  </si>
  <si>
    <t>10-1500-4022</t>
  </si>
  <si>
    <t>Fines</t>
  </si>
  <si>
    <t>10-1500-4007</t>
  </si>
  <si>
    <t>PROPERTY LEASE</t>
  </si>
  <si>
    <t>Ice Rink Revenue</t>
  </si>
  <si>
    <t>10-2550-4000</t>
  </si>
  <si>
    <t>Donations/Contributions</t>
  </si>
  <si>
    <t>10-1500-4210</t>
  </si>
  <si>
    <t>30-2025-4100</t>
  </si>
  <si>
    <t>30-2526-4000</t>
  </si>
  <si>
    <t>30-2530-4008</t>
  </si>
  <si>
    <t>Piuraagvik Phase III</t>
  </si>
  <si>
    <t>50-5012-4100</t>
  </si>
  <si>
    <t>90-7510-6001</t>
  </si>
  <si>
    <t>90-75X0-6425</t>
  </si>
  <si>
    <t>90-7520-6690</t>
  </si>
  <si>
    <t xml:space="preserve">Utilities Gas and Elec </t>
  </si>
  <si>
    <t>Total Expenses</t>
  </si>
  <si>
    <t>NET</t>
  </si>
  <si>
    <t>SoA and Federal GamingTaxes</t>
  </si>
  <si>
    <t>Prize Payouts and Playbacks</t>
  </si>
  <si>
    <t>Postage and Misc</t>
  </si>
  <si>
    <t>Building Maintenance</t>
  </si>
  <si>
    <t>Internet and Telephone</t>
  </si>
  <si>
    <t>Utilities - Internet and phone</t>
  </si>
  <si>
    <t>Professional Srvcs- Accounting</t>
  </si>
  <si>
    <t>COS - Vending</t>
  </si>
  <si>
    <t>Taxicabs License and Permits</t>
  </si>
  <si>
    <t>Over/(Under) PY Budget</t>
  </si>
  <si>
    <t>10-1500-4599</t>
  </si>
  <si>
    <t>10-1500-4810</t>
  </si>
  <si>
    <t>Marker/Glue</t>
  </si>
  <si>
    <t>10-1500-4720</t>
  </si>
  <si>
    <t>Academic Scholarships</t>
  </si>
  <si>
    <t>Meals &amp; Supplies</t>
  </si>
  <si>
    <t>Travel &amp; PerDiem</t>
  </si>
  <si>
    <t>Postage &amp; Freight</t>
  </si>
  <si>
    <t>Vehicle Fuel &amp; Maintenance</t>
  </si>
  <si>
    <t>Permit, Fines &amp; Penalties</t>
  </si>
  <si>
    <t>Payroll Suspense Acct</t>
  </si>
  <si>
    <t>Cash over/short</t>
  </si>
  <si>
    <t>Contractual/Building Maint Services</t>
  </si>
  <si>
    <t>Vehicle Fuel/Maintenance</t>
  </si>
  <si>
    <t>Freight</t>
  </si>
  <si>
    <t>Dues &amp; Subscriptions</t>
  </si>
  <si>
    <t>Markers &amp; Glue</t>
  </si>
  <si>
    <t>Business License/Permits</t>
  </si>
  <si>
    <t>Utilities Water</t>
  </si>
  <si>
    <t>90-7520-6560</t>
  </si>
  <si>
    <t>Vehicle Maintenance &amp; Repairs</t>
  </si>
  <si>
    <t>90-75X0-6990</t>
  </si>
  <si>
    <t>Contractual Building Maint Services</t>
  </si>
  <si>
    <t>Wages-bingo</t>
  </si>
  <si>
    <t>Misc. Expenses</t>
  </si>
  <si>
    <t>Utilities/Phone</t>
  </si>
  <si>
    <t>Fines &amp; Penalties</t>
  </si>
  <si>
    <t>10-52XX-4100</t>
  </si>
  <si>
    <t>FY19NPRA - Basic Local Government Shop</t>
  </si>
  <si>
    <t>FY19NPRA - Basic Local Government Hockey Tent</t>
  </si>
  <si>
    <t>10-1500-4013</t>
  </si>
  <si>
    <t>10-1500-4020</t>
  </si>
  <si>
    <t>30-2526-4100</t>
  </si>
  <si>
    <t>ASRC Summer Youth Contribution-Grant</t>
  </si>
  <si>
    <t>30-2530-4000</t>
  </si>
  <si>
    <t>SYP Revenue</t>
  </si>
  <si>
    <t>30-2530-4100</t>
  </si>
  <si>
    <t>State Revenue Sharing  CAP</t>
  </si>
  <si>
    <t>State Revenue Sharing CAP</t>
  </si>
  <si>
    <t>If the tab name contains "Detail", this is a tab that you enter information onto from the</t>
  </si>
  <si>
    <t xml:space="preserve"> Revenue/Expense report from Fundware.</t>
  </si>
  <si>
    <t xml:space="preserve">If the tab name does not contain "Detail", it should be linked to the detail tabs and should be </t>
  </si>
  <si>
    <t xml:space="preserve">filled out automatically </t>
  </si>
  <si>
    <t xml:space="preserve">The first five pages will now be "grouped" and when you press "print", they should all print </t>
  </si>
  <si>
    <t>w/the correct page numbers on them.</t>
  </si>
  <si>
    <t>added to the "Detail" tabs.</t>
  </si>
  <si>
    <t xml:space="preserve">Maintenance of this feature may be required if new rows and/or columns are </t>
  </si>
  <si>
    <t xml:space="preserve">Freight </t>
  </si>
  <si>
    <t>Bank Charges/Fees</t>
  </si>
  <si>
    <t>Telephone/Internet</t>
  </si>
  <si>
    <t>Misc. Exp</t>
  </si>
  <si>
    <t>90-7510-6990</t>
  </si>
  <si>
    <t>Transfer out to other fund</t>
  </si>
  <si>
    <t>90-75X0-6585</t>
  </si>
  <si>
    <t>Permits &amp; Licenses</t>
  </si>
  <si>
    <t>Gaming Tax</t>
  </si>
  <si>
    <t>FED/State Gaming Taxes</t>
  </si>
  <si>
    <t>90-7510-6825</t>
  </si>
  <si>
    <t>Bingo Cost of Sales</t>
  </si>
  <si>
    <t>90-7510-6850</t>
  </si>
  <si>
    <t>Bingo Cash over &amp; short</t>
  </si>
  <si>
    <t>90-75X0-6580</t>
  </si>
  <si>
    <t>90-7510-6899</t>
  </si>
  <si>
    <t>90-7520-6850</t>
  </si>
  <si>
    <t>90-7520-6899</t>
  </si>
  <si>
    <t>Pull Tabs Misc.</t>
  </si>
  <si>
    <t>10-2500-4019</t>
  </si>
  <si>
    <t>Misc.  Refunds</t>
  </si>
  <si>
    <t>Other - Revenue</t>
  </si>
  <si>
    <t>Travel-Air/Lodging/Trans/Per Diem</t>
  </si>
  <si>
    <t>Freight/Postage</t>
  </si>
  <si>
    <t>Utilities-Gas/Elec/Water/Phone/Int</t>
  </si>
  <si>
    <t>Vehicle Fuel &amp; Maint</t>
  </si>
  <si>
    <t>Equipment Purchases</t>
  </si>
  <si>
    <t>Cost of Sales/Vend</t>
  </si>
  <si>
    <t>Supplies-Food/Office/Househould</t>
  </si>
  <si>
    <t>Interest/Bank Fees</t>
  </si>
  <si>
    <t>Vehicle Gas/Maintenance</t>
  </si>
  <si>
    <t>Marijuana Tax</t>
  </si>
  <si>
    <t>Revenue Fines</t>
  </si>
  <si>
    <t>Travel-Air,Trans,Per Diem, Training</t>
  </si>
  <si>
    <t>Supplies/Meals</t>
  </si>
  <si>
    <t>Scholarship</t>
  </si>
  <si>
    <t>Supplies/Food</t>
  </si>
  <si>
    <t>Fees-Distribution/Membership/Permit</t>
  </si>
  <si>
    <t>Fees-Distribution Handling Fee</t>
  </si>
  <si>
    <t>DESCRIPTION</t>
  </si>
  <si>
    <t xml:space="preserve">GENERAL FUND REVENUE </t>
  </si>
  <si>
    <t>10-1500-4005</t>
  </si>
  <si>
    <t>Entertainment Expense</t>
  </si>
  <si>
    <t xml:space="preserve">Taxicab </t>
  </si>
  <si>
    <t>10-1500-4100</t>
  </si>
  <si>
    <t>Grant Revenue</t>
  </si>
  <si>
    <t>10-2515-4000</t>
  </si>
  <si>
    <t>10-2520-4000</t>
  </si>
  <si>
    <t>10-2545-4000</t>
  </si>
  <si>
    <t>Community Leagues/Tournament Revenue</t>
  </si>
  <si>
    <t>80-8020-4000</t>
  </si>
  <si>
    <t>Meals</t>
  </si>
  <si>
    <t>Training</t>
  </si>
  <si>
    <t>Contractor Expenses</t>
  </si>
  <si>
    <t>Janitorial Expenses</t>
  </si>
  <si>
    <t>Janitorial Services</t>
  </si>
  <si>
    <t>10-25XX-XXXX</t>
  </si>
  <si>
    <t>Per Diem</t>
  </si>
  <si>
    <t>Travel-Air/Lodging/Trans</t>
  </si>
  <si>
    <t>Council Wages &amp; Benefits</t>
  </si>
  <si>
    <t>FY24 Budget</t>
  </si>
  <si>
    <t>FY25 Budget</t>
  </si>
  <si>
    <t xml:space="preserve">  FY 25  Council, Administration, and Recreation</t>
  </si>
  <si>
    <t>Advertising &amp; Printing</t>
  </si>
  <si>
    <t>Community League/Tournaments</t>
  </si>
  <si>
    <t>NPRA Rec - Wages</t>
  </si>
  <si>
    <t>NPRA Rec - benefits</t>
  </si>
  <si>
    <t>10-1500-4021</t>
  </si>
  <si>
    <t xml:space="preserve">FY25 December 2024 </t>
  </si>
  <si>
    <t>Ice Rink/Hockey Gear</t>
  </si>
  <si>
    <t>Supplies/Misc. Expenses</t>
  </si>
  <si>
    <t>Summer Youth Program</t>
  </si>
  <si>
    <t>EIAP - Gifts &amp; Contributions</t>
  </si>
  <si>
    <t>EIAP - Professional Services - Audit</t>
  </si>
  <si>
    <t>EIAP - Professional Services - Accounting</t>
  </si>
  <si>
    <t>EIAP - Contractor Expenses</t>
  </si>
  <si>
    <t>SoA Revenue Sharing</t>
  </si>
  <si>
    <t>OTHER - Payment in Lieu of Taxes/EIAP</t>
  </si>
  <si>
    <t xml:space="preserve">ASRC - Grave Digging </t>
  </si>
  <si>
    <t xml:space="preserve">Wages </t>
  </si>
  <si>
    <t>YTD Actuals APR-25</t>
  </si>
  <si>
    <t>Special Event/Prizes</t>
  </si>
  <si>
    <t>Comm Leagues/Lil Dribblers</t>
  </si>
  <si>
    <t>YTD Actuals MAY-25</t>
  </si>
  <si>
    <t>SALARIES AND WAGES</t>
  </si>
  <si>
    <t>TAXES AND BENEFITS</t>
  </si>
  <si>
    <t>TRAVEL-AIRFARE LODGING TRANSPORTATION</t>
  </si>
  <si>
    <t>CONTRACTOR EXPENSES</t>
  </si>
  <si>
    <t>FREIGHT</t>
  </si>
  <si>
    <t>UTILITIES-GAS &amp; ELECTRIC</t>
  </si>
  <si>
    <t>UTILITIES-WATER</t>
  </si>
  <si>
    <t>UTILITIES-PHONE &amp; INTERNET</t>
  </si>
  <si>
    <t>VEHICLE FUEL</t>
  </si>
  <si>
    <t>VEHICLE MAINTENANCE AND REPAIRS</t>
  </si>
  <si>
    <t>SUPPLIES</t>
  </si>
  <si>
    <t>FACILITY RENTAL-REC CENTER</t>
  </si>
  <si>
    <t>10-2500-6000</t>
  </si>
  <si>
    <t>10-2500-6001</t>
  </si>
  <si>
    <t>10-2500-6010</t>
  </si>
  <si>
    <t>10-2500-6011</t>
  </si>
  <si>
    <t>MEALS</t>
  </si>
  <si>
    <t>10-2500-6430</t>
  </si>
  <si>
    <t>10-2500-6460</t>
  </si>
  <si>
    <t>10-2500-6510</t>
  </si>
  <si>
    <t>10-2500-6530</t>
  </si>
  <si>
    <t>10-2500-6540</t>
  </si>
  <si>
    <t>10-2500-6550</t>
  </si>
  <si>
    <t>10-2500-6560</t>
  </si>
  <si>
    <t>10-2500-6570</t>
  </si>
  <si>
    <t>10-2500-6620</t>
  </si>
  <si>
    <t>BLDG MAINTENANCE</t>
  </si>
  <si>
    <t>10-2500-6670</t>
  </si>
  <si>
    <t>EQUIPMENT PURCHASES &lt; $5000</t>
  </si>
  <si>
    <t>10-2500-6715</t>
  </si>
  <si>
    <t>PRIZES</t>
  </si>
  <si>
    <t>FY25 May 2025 Expense Budgets</t>
  </si>
  <si>
    <t>FY25 May 2025 Budgets</t>
  </si>
  <si>
    <t>FY25 May 2025 Revenue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</si>
</sst>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[$$-409]* #,##0_);_([$$-409]* \(#,##0\);_([$$-409]* &quot;-&quot;??_);_(@_)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16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" fillId="23" borderId="7" applyNumberFormat="0" applyFont="0" applyAlignment="0" applyProtection="0"/>
    <xf numFmtId="0" fontId="32" fillId="20" borderId="8" applyNumberForma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48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textRotation="90"/>
    </xf>
    <xf numFmtId="49" fontId="3" fillId="0" borderId="0" xfId="28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1" fillId="0" borderId="18" xfId="0" applyFont="1" applyBorder="1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0" xfId="0" applyAlignment="1">
      <alignment horizontal="center" vertical="center" textRotation="90" wrapText="1"/>
    </xf>
    <xf numFmtId="164" fontId="0" fillId="0" borderId="0" xfId="28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24" borderId="11" xfId="0" applyFill="1" applyBorder="1" applyAlignment="1">
      <alignment vertical="center"/>
    </xf>
    <xf numFmtId="0" fontId="16" fillId="0" borderId="0" xfId="0" applyFont="1" applyAlignment="1">
      <alignment horizontal="right" vertical="center"/>
    </xf>
    <xf numFmtId="164" fontId="0" fillId="0" borderId="0" xfId="28" applyNumberFormat="1" applyFont="1" applyFill="1" applyAlignment="1">
      <alignment vertical="center"/>
    </xf>
    <xf numFmtId="49" fontId="4" fillId="0" borderId="13" xfId="0" applyNumberFormat="1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7" fillId="0" borderId="0" xfId="0" applyFont="1" applyAlignment="1">
      <alignment vertical="center"/>
    </xf>
    <xf numFmtId="164" fontId="4" fillId="0" borderId="0" xfId="28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right" vertical="center"/>
    </xf>
    <xf numFmtId="164" fontId="4" fillId="0" borderId="14" xfId="28" applyNumberFormat="1" applyFont="1" applyFill="1" applyBorder="1" applyAlignment="1">
      <alignment vertical="center"/>
    </xf>
    <xf numFmtId="164" fontId="4" fillId="0" borderId="13" xfId="28" applyNumberFormat="1" applyFont="1" applyFill="1" applyBorder="1" applyAlignment="1">
      <alignment vertical="center"/>
    </xf>
    <xf numFmtId="164" fontId="4" fillId="0" borderId="13" xfId="28" applyNumberFormat="1" applyFont="1" applyBorder="1" applyAlignment="1">
      <alignment vertical="center"/>
    </xf>
    <xf numFmtId="164" fontId="4" fillId="0" borderId="15" xfId="28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17" xfId="28" applyNumberFormat="1" applyFont="1" applyFill="1" applyBorder="1" applyAlignment="1">
      <alignment vertical="center"/>
    </xf>
    <xf numFmtId="164" fontId="1" fillId="0" borderId="13" xfId="28" applyNumberFormat="1" applyFill="1" applyBorder="1" applyAlignment="1">
      <alignment vertical="center"/>
    </xf>
    <xf numFmtId="164" fontId="4" fillId="0" borderId="0" xfId="28" applyNumberFormat="1" applyFont="1" applyBorder="1" applyAlignment="1">
      <alignment vertical="center"/>
    </xf>
    <xf numFmtId="164" fontId="4" fillId="24" borderId="0" xfId="28" applyNumberFormat="1" applyFont="1" applyFill="1" applyBorder="1" applyAlignment="1">
      <alignment vertical="center"/>
    </xf>
    <xf numFmtId="0" fontId="5" fillId="0" borderId="22" xfId="0" applyFont="1" applyBorder="1" applyAlignment="1">
      <alignment wrapText="1"/>
    </xf>
    <xf numFmtId="3" fontId="4" fillId="0" borderId="27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164" fontId="4" fillId="0" borderId="27" xfId="28" applyNumberFormat="1" applyFont="1" applyFill="1" applyBorder="1" applyAlignment="1">
      <alignment horizontal="right" vertical="center"/>
    </xf>
    <xf numFmtId="164" fontId="4" fillId="0" borderId="16" xfId="28" applyNumberFormat="1" applyFont="1" applyFill="1" applyBorder="1" applyAlignment="1">
      <alignment horizontal="right" vertical="center"/>
    </xf>
    <xf numFmtId="164" fontId="4" fillId="0" borderId="10" xfId="28" applyNumberFormat="1" applyFont="1" applyFill="1" applyBorder="1" applyAlignment="1">
      <alignment horizontal="right" vertical="center"/>
    </xf>
    <xf numFmtId="0" fontId="0" fillId="0" borderId="18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0" fillId="0" borderId="17" xfId="28" applyNumberFormat="1" applyFont="1" applyFill="1" applyBorder="1" applyAlignment="1">
      <alignment vertical="center"/>
    </xf>
    <xf numFmtId="164" fontId="3" fillId="0" borderId="10" xfId="28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right"/>
    </xf>
    <xf numFmtId="164" fontId="4" fillId="0" borderId="0" xfId="28" applyNumberFormat="1" applyFont="1" applyFill="1" applyBorder="1" applyAlignment="1">
      <alignment horizontal="right" vertical="center"/>
    </xf>
    <xf numFmtId="164" fontId="0" fillId="0" borderId="31" xfId="28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4" fillId="0" borderId="14" xfId="28" applyNumberFormat="1" applyFont="1" applyFill="1" applyBorder="1" applyAlignment="1">
      <alignment vertical="center"/>
    </xf>
    <xf numFmtId="38" fontId="4" fillId="0" borderId="13" xfId="28" applyNumberFormat="1" applyFont="1" applyFill="1" applyBorder="1" applyAlignment="1">
      <alignment vertical="center"/>
    </xf>
    <xf numFmtId="165" fontId="3" fillId="0" borderId="10" xfId="29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15" fillId="0" borderId="11" xfId="0" applyFont="1" applyBorder="1"/>
    <xf numFmtId="0" fontId="3" fillId="0" borderId="32" xfId="0" applyFont="1" applyBorder="1" applyAlignment="1">
      <alignment horizontal="right" vertical="center"/>
    </xf>
    <xf numFmtId="165" fontId="3" fillId="0" borderId="33" xfId="29" applyNumberFormat="1" applyFont="1" applyFill="1" applyBorder="1" applyAlignment="1">
      <alignment vertical="center"/>
    </xf>
    <xf numFmtId="165" fontId="3" fillId="0" borderId="34" xfId="29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165" fontId="3" fillId="0" borderId="35" xfId="29" applyNumberFormat="1" applyFont="1" applyFill="1" applyBorder="1" applyAlignment="1">
      <alignment vertical="center"/>
    </xf>
    <xf numFmtId="165" fontId="3" fillId="0" borderId="35" xfId="29" applyNumberFormat="1" applyFont="1" applyBorder="1" applyAlignment="1">
      <alignment vertical="center"/>
    </xf>
    <xf numFmtId="3" fontId="4" fillId="0" borderId="38" xfId="0" applyNumberFormat="1" applyFont="1" applyBorder="1" applyAlignment="1">
      <alignment horizontal="right" vertical="center"/>
    </xf>
    <xf numFmtId="165" fontId="3" fillId="0" borderId="0" xfId="29" applyNumberFormat="1" applyFont="1" applyFill="1" applyBorder="1" applyAlignment="1">
      <alignment vertical="center"/>
    </xf>
    <xf numFmtId="2" fontId="0" fillId="0" borderId="26" xfId="0" applyNumberFormat="1" applyBorder="1" applyAlignment="1">
      <alignment vertical="center"/>
    </xf>
    <xf numFmtId="2" fontId="36" fillId="0" borderId="26" xfId="0" quotePrefix="1" applyNumberFormat="1" applyFont="1" applyBorder="1" applyAlignment="1">
      <alignment vertical="center"/>
    </xf>
    <xf numFmtId="3" fontId="4" fillId="0" borderId="33" xfId="0" applyNumberFormat="1" applyFont="1" applyBorder="1" applyAlignment="1">
      <alignment horizontal="right" vertical="center"/>
    </xf>
    <xf numFmtId="165" fontId="3" fillId="0" borderId="39" xfId="29" applyNumberFormat="1" applyFont="1" applyFill="1" applyBorder="1" applyAlignment="1">
      <alignment horizontal="right" vertical="center"/>
    </xf>
    <xf numFmtId="165" fontId="3" fillId="0" borderId="40" xfId="29" applyNumberFormat="1" applyFont="1" applyFill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4" fillId="0" borderId="24" xfId="0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164" fontId="4" fillId="0" borderId="0" xfId="28" applyNumberFormat="1" applyFont="1" applyFill="1" applyAlignment="1">
      <alignment vertical="center"/>
    </xf>
    <xf numFmtId="165" fontId="3" fillId="0" borderId="16" xfId="29" applyNumberFormat="1" applyFont="1" applyBorder="1" applyAlignment="1">
      <alignment horizontal="right"/>
    </xf>
    <xf numFmtId="165" fontId="3" fillId="0" borderId="16" xfId="29" applyNumberFormat="1" applyFont="1" applyBorder="1" applyAlignment="1"/>
    <xf numFmtId="164" fontId="1" fillId="0" borderId="15" xfId="28" applyNumberFormat="1" applyFill="1" applyBorder="1" applyAlignment="1">
      <alignment vertical="center"/>
    </xf>
    <xf numFmtId="165" fontId="3" fillId="0" borderId="42" xfId="29" applyNumberFormat="1" applyFont="1" applyFill="1" applyBorder="1" applyAlignment="1">
      <alignment vertical="center"/>
    </xf>
    <xf numFmtId="49" fontId="0" fillId="0" borderId="14" xfId="0" applyNumberFormat="1" applyBorder="1" applyAlignment="1">
      <alignment vertical="center"/>
    </xf>
    <xf numFmtId="164" fontId="0" fillId="0" borderId="13" xfId="28" applyNumberFormat="1" applyFont="1" applyBorder="1" applyAlignment="1">
      <alignment vertical="center"/>
    </xf>
    <xf numFmtId="164" fontId="4" fillId="0" borderId="0" xfId="28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4" fontId="1" fillId="0" borderId="18" xfId="28" applyNumberFormat="1" applyFill="1" applyBorder="1" applyAlignment="1">
      <alignment vertical="center"/>
    </xf>
    <xf numFmtId="164" fontId="0" fillId="0" borderId="26" xfId="28" applyNumberFormat="1" applyFont="1" applyFill="1" applyBorder="1" applyAlignment="1">
      <alignment vertical="center"/>
    </xf>
    <xf numFmtId="43" fontId="0" fillId="0" borderId="14" xfId="28" applyFont="1" applyBorder="1" applyAlignment="1">
      <alignment vertical="center"/>
    </xf>
    <xf numFmtId="43" fontId="0" fillId="0" borderId="13" xfId="28" applyFont="1" applyBorder="1" applyAlignment="1">
      <alignment vertical="center"/>
    </xf>
    <xf numFmtId="43" fontId="0" fillId="0" borderId="15" xfId="28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3" fillId="0" borderId="16" xfId="29" applyNumberFormat="1" applyFont="1" applyFill="1" applyBorder="1" applyAlignment="1">
      <alignment horizontal="right"/>
    </xf>
    <xf numFmtId="164" fontId="4" fillId="0" borderId="0" xfId="0" applyNumberFormat="1" applyFont="1" applyAlignment="1">
      <alignment vertical="center"/>
    </xf>
    <xf numFmtId="164" fontId="0" fillId="0" borderId="14" xfId="28" applyNumberFormat="1" applyFont="1" applyFill="1" applyBorder="1" applyAlignment="1">
      <alignment vertical="center"/>
    </xf>
    <xf numFmtId="164" fontId="0" fillId="0" borderId="13" xfId="28" applyNumberFormat="1" applyFont="1" applyFill="1" applyBorder="1" applyAlignment="1">
      <alignment vertical="center"/>
    </xf>
    <xf numFmtId="164" fontId="3" fillId="0" borderId="43" xfId="28" applyNumberFormat="1" applyFont="1" applyFill="1" applyBorder="1" applyAlignment="1">
      <alignment horizontal="center" vertical="center" wrapText="1"/>
    </xf>
    <xf numFmtId="164" fontId="4" fillId="0" borderId="44" xfId="28" applyNumberFormat="1" applyFont="1" applyFill="1" applyBorder="1" applyAlignment="1">
      <alignment horizontal="right" vertical="center"/>
    </xf>
    <xf numFmtId="164" fontId="4" fillId="0" borderId="45" xfId="28" applyNumberFormat="1" applyFont="1" applyFill="1" applyBorder="1" applyAlignment="1">
      <alignment horizontal="right" vertical="center"/>
    </xf>
    <xf numFmtId="164" fontId="4" fillId="0" borderId="46" xfId="28" applyNumberFormat="1" applyFont="1" applyFill="1" applyBorder="1" applyAlignment="1">
      <alignment horizontal="right" vertical="center"/>
    </xf>
    <xf numFmtId="41" fontId="3" fillId="0" borderId="23" xfId="0" applyNumberFormat="1" applyFont="1" applyBorder="1" applyAlignment="1">
      <alignment vertical="center"/>
    </xf>
    <xf numFmtId="164" fontId="4" fillId="0" borderId="48" xfId="28" applyNumberFormat="1" applyFont="1" applyFill="1" applyBorder="1" applyAlignment="1">
      <alignment horizontal="right" vertical="center"/>
    </xf>
    <xf numFmtId="164" fontId="4" fillId="0" borderId="33" xfId="28" applyNumberFormat="1" applyFont="1" applyFill="1" applyBorder="1" applyAlignment="1">
      <alignment horizontal="right" vertical="center"/>
    </xf>
    <xf numFmtId="164" fontId="1" fillId="0" borderId="13" xfId="28" applyNumberFormat="1" applyFont="1" applyFill="1" applyBorder="1" applyAlignment="1">
      <alignment vertical="center"/>
    </xf>
    <xf numFmtId="164" fontId="1" fillId="0" borderId="17" xfId="28" applyNumberFormat="1" applyFont="1" applyFill="1" applyBorder="1" applyAlignment="1">
      <alignment vertical="center"/>
    </xf>
    <xf numFmtId="164" fontId="4" fillId="0" borderId="24" xfId="28" applyNumberFormat="1" applyFont="1" applyFill="1" applyBorder="1" applyAlignment="1">
      <alignment horizontal="right" vertical="center"/>
    </xf>
    <xf numFmtId="165" fontId="3" fillId="0" borderId="51" xfId="29" applyNumberFormat="1" applyFont="1" applyFill="1" applyBorder="1" applyAlignment="1">
      <alignment horizontal="right" vertical="center"/>
    </xf>
    <xf numFmtId="43" fontId="0" fillId="0" borderId="0" xfId="28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1" fillId="0" borderId="19" xfId="0" applyNumberFormat="1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165" fontId="3" fillId="0" borderId="39" xfId="29" applyNumberFormat="1" applyFont="1" applyFill="1" applyBorder="1" applyAlignment="1">
      <alignment vertical="center"/>
    </xf>
    <xf numFmtId="49" fontId="1" fillId="0" borderId="14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7" xfId="0" applyBorder="1" applyAlignment="1">
      <alignment vertical="center"/>
    </xf>
    <xf numFmtId="0" fontId="1" fillId="0" borderId="24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164" fontId="0" fillId="0" borderId="15" xfId="28" applyNumberFormat="1" applyFont="1" applyBorder="1" applyAlignment="1">
      <alignment vertical="center"/>
    </xf>
    <xf numFmtId="164" fontId="4" fillId="26" borderId="0" xfId="28" applyNumberFormat="1" applyFont="1" applyFill="1" applyBorder="1" applyAlignment="1">
      <alignment vertical="center"/>
    </xf>
    <xf numFmtId="0" fontId="0" fillId="26" borderId="24" xfId="0" applyFill="1" applyBorder="1" applyAlignment="1">
      <alignment vertical="center"/>
    </xf>
    <xf numFmtId="0" fontId="0" fillId="26" borderId="0" xfId="0" applyFill="1" applyAlignment="1">
      <alignment vertical="center"/>
    </xf>
    <xf numFmtId="164" fontId="4" fillId="26" borderId="41" xfId="28" applyNumberFormat="1" applyFont="1" applyFill="1" applyBorder="1" applyAlignment="1">
      <alignment vertical="center"/>
    </xf>
    <xf numFmtId="41" fontId="4" fillId="26" borderId="0" xfId="0" applyNumberFormat="1" applyFont="1" applyFill="1" applyAlignment="1">
      <alignment vertical="center" wrapText="1"/>
    </xf>
    <xf numFmtId="164" fontId="4" fillId="26" borderId="0" xfId="28" applyNumberFormat="1" applyFont="1" applyFill="1" applyBorder="1" applyAlignment="1">
      <alignment horizontal="right" vertical="center"/>
    </xf>
    <xf numFmtId="3" fontId="4" fillId="26" borderId="30" xfId="0" applyNumberFormat="1" applyFont="1" applyFill="1" applyBorder="1" applyAlignment="1">
      <alignment horizontal="right" vertical="center"/>
    </xf>
    <xf numFmtId="3" fontId="4" fillId="26" borderId="0" xfId="0" applyNumberFormat="1" applyFont="1" applyFill="1" applyAlignment="1">
      <alignment horizontal="right" vertical="center"/>
    </xf>
    <xf numFmtId="164" fontId="4" fillId="0" borderId="26" xfId="28" applyNumberFormat="1" applyFont="1" applyFill="1" applyBorder="1" applyAlignment="1">
      <alignment vertical="center"/>
    </xf>
    <xf numFmtId="164" fontId="4" fillId="0" borderId="18" xfId="28" applyNumberFormat="1" applyFont="1" applyFill="1" applyBorder="1" applyAlignment="1">
      <alignment vertical="center"/>
    </xf>
    <xf numFmtId="164" fontId="4" fillId="0" borderId="19" xfId="28" applyNumberFormat="1" applyFont="1" applyFill="1" applyBorder="1" applyAlignment="1">
      <alignment vertical="center"/>
    </xf>
    <xf numFmtId="0" fontId="0" fillId="24" borderId="0" xfId="0" applyFill="1" applyAlignment="1">
      <alignment vertical="center"/>
    </xf>
    <xf numFmtId="49" fontId="4" fillId="24" borderId="0" xfId="0" applyNumberFormat="1" applyFont="1" applyFill="1" applyAlignment="1">
      <alignment vertical="center" wrapText="1"/>
    </xf>
    <xf numFmtId="164" fontId="0" fillId="0" borderId="18" xfId="28" applyNumberFormat="1" applyFont="1" applyBorder="1" applyAlignment="1">
      <alignment vertical="center"/>
    </xf>
    <xf numFmtId="165" fontId="3" fillId="0" borderId="42" xfId="29" applyNumberFormat="1" applyFont="1" applyBorder="1" applyAlignment="1">
      <alignment vertical="center"/>
    </xf>
    <xf numFmtId="164" fontId="0" fillId="0" borderId="14" xfId="28" applyNumberFormat="1" applyFont="1" applyBorder="1" applyAlignment="1">
      <alignment vertical="center"/>
    </xf>
    <xf numFmtId="164" fontId="4" fillId="0" borderId="20" xfId="28" applyNumberFormat="1" applyFont="1" applyFill="1" applyBorder="1" applyAlignment="1">
      <alignment vertical="center"/>
    </xf>
    <xf numFmtId="164" fontId="1" fillId="0" borderId="14" xfId="28" applyNumberFormat="1" applyFont="1" applyFill="1" applyBorder="1" applyAlignment="1">
      <alignment vertical="center"/>
    </xf>
    <xf numFmtId="49" fontId="4" fillId="24" borderId="53" xfId="0" applyNumberFormat="1" applyFont="1" applyFill="1" applyBorder="1" applyAlignment="1">
      <alignment vertical="center" wrapText="1"/>
    </xf>
    <xf numFmtId="0" fontId="0" fillId="24" borderId="53" xfId="0" applyFill="1" applyBorder="1" applyAlignment="1">
      <alignment vertical="center"/>
    </xf>
    <xf numFmtId="2" fontId="36" fillId="0" borderId="14" xfId="0" quotePrefix="1" applyNumberFormat="1" applyFont="1" applyBorder="1" applyAlignment="1">
      <alignment vertical="center"/>
    </xf>
    <xf numFmtId="0" fontId="0" fillId="24" borderId="38" xfId="0" applyFill="1" applyBorder="1" applyAlignment="1">
      <alignment vertical="center"/>
    </xf>
    <xf numFmtId="164" fontId="0" fillId="0" borderId="18" xfId="28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1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2" xfId="0" applyBorder="1" applyAlignment="1">
      <alignment vertical="center"/>
    </xf>
    <xf numFmtId="41" fontId="0" fillId="0" borderId="0" xfId="0" applyNumberFormat="1" applyAlignment="1">
      <alignment vertical="center"/>
    </xf>
    <xf numFmtId="0" fontId="4" fillId="0" borderId="18" xfId="0" applyFont="1" applyBorder="1" applyAlignment="1">
      <alignment vertical="center"/>
    </xf>
    <xf numFmtId="165" fontId="3" fillId="0" borderId="54" xfId="29" applyNumberFormat="1" applyFont="1" applyFill="1" applyBorder="1" applyAlignment="1">
      <alignment vertical="center"/>
    </xf>
    <xf numFmtId="165" fontId="3" fillId="0" borderId="21" xfId="29" applyNumberFormat="1" applyFont="1" applyFill="1" applyBorder="1" applyAlignment="1">
      <alignment horizontal="right"/>
    </xf>
    <xf numFmtId="164" fontId="4" fillId="0" borderId="21" xfId="28" applyNumberFormat="1" applyFont="1" applyFill="1" applyBorder="1" applyAlignment="1">
      <alignment horizontal="right" vertical="center"/>
    </xf>
    <xf numFmtId="164" fontId="4" fillId="0" borderId="38" xfId="28" applyNumberFormat="1" applyFont="1" applyFill="1" applyBorder="1" applyAlignment="1">
      <alignment horizontal="right" vertical="center"/>
    </xf>
    <xf numFmtId="164" fontId="4" fillId="0" borderId="34" xfId="28" applyNumberFormat="1" applyFont="1" applyFill="1" applyBorder="1" applyAlignment="1">
      <alignment horizontal="right" vertical="center"/>
    </xf>
    <xf numFmtId="164" fontId="4" fillId="0" borderId="34" xfId="0" applyNumberFormat="1" applyFont="1" applyBorder="1" applyAlignment="1">
      <alignment horizontal="right" vertical="center"/>
    </xf>
    <xf numFmtId="165" fontId="3" fillId="0" borderId="11" xfId="29" applyNumberFormat="1" applyFont="1" applyFill="1" applyBorder="1" applyAlignment="1">
      <alignment vertical="center"/>
    </xf>
    <xf numFmtId="164" fontId="1" fillId="0" borderId="19" xfId="28" applyNumberFormat="1" applyFill="1" applyBorder="1" applyAlignment="1">
      <alignment vertical="center"/>
    </xf>
    <xf numFmtId="164" fontId="0" fillId="0" borderId="56" xfId="28" applyNumberFormat="1" applyFont="1" applyFill="1" applyBorder="1" applyAlignment="1">
      <alignment vertical="center"/>
    </xf>
    <xf numFmtId="164" fontId="0" fillId="0" borderId="47" xfId="28" applyNumberFormat="1" applyFont="1" applyFill="1" applyBorder="1" applyAlignment="1">
      <alignment vertical="center"/>
    </xf>
    <xf numFmtId="164" fontId="0" fillId="0" borderId="28" xfId="28" applyNumberFormat="1" applyFont="1" applyFill="1" applyBorder="1" applyAlignment="1">
      <alignment vertical="center"/>
    </xf>
    <xf numFmtId="164" fontId="0" fillId="0" borderId="58" xfId="28" applyNumberFormat="1" applyFont="1" applyFill="1" applyBorder="1" applyAlignment="1">
      <alignment vertical="center"/>
    </xf>
    <xf numFmtId="0" fontId="0" fillId="0" borderId="24" xfId="0" applyBorder="1" applyAlignment="1">
      <alignment vertical="top" wrapText="1"/>
    </xf>
    <xf numFmtId="0" fontId="3" fillId="0" borderId="2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4" fillId="26" borderId="24" xfId="0" applyFont="1" applyFill="1" applyBorder="1" applyAlignment="1">
      <alignment vertical="center"/>
    </xf>
    <xf numFmtId="0" fontId="16" fillId="0" borderId="10" xfId="0" applyFont="1" applyBorder="1" applyAlignment="1">
      <alignment horizontal="right" vertical="top" wrapText="1"/>
    </xf>
    <xf numFmtId="0" fontId="16" fillId="0" borderId="38" xfId="0" applyFont="1" applyBorder="1" applyAlignment="1">
      <alignment horizontal="right" vertical="center"/>
    </xf>
    <xf numFmtId="0" fontId="16" fillId="0" borderId="34" xfId="0" applyFont="1" applyBorder="1" applyAlignment="1">
      <alignment horizontal="right" vertical="center"/>
    </xf>
    <xf numFmtId="0" fontId="16" fillId="26" borderId="24" xfId="0" applyFont="1" applyFill="1" applyBorder="1" applyAlignment="1">
      <alignment horizontal="right" vertical="center"/>
    </xf>
    <xf numFmtId="0" fontId="14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right" vertical="center"/>
    </xf>
    <xf numFmtId="0" fontId="5" fillId="26" borderId="12" xfId="0" applyFont="1" applyFill="1" applyBorder="1" applyAlignment="1">
      <alignment wrapText="1"/>
    </xf>
    <xf numFmtId="164" fontId="4" fillId="26" borderId="0" xfId="0" applyNumberFormat="1" applyFont="1" applyFill="1"/>
    <xf numFmtId="164" fontId="4" fillId="26" borderId="0" xfId="0" applyNumberFormat="1" applyFont="1" applyFill="1" applyAlignment="1">
      <alignment vertical="center"/>
    </xf>
    <xf numFmtId="0" fontId="4" fillId="26" borderId="0" xfId="0" applyFont="1" applyFill="1" applyAlignment="1">
      <alignment vertical="center"/>
    </xf>
    <xf numFmtId="0" fontId="0" fillId="26" borderId="0" xfId="0" applyFill="1"/>
    <xf numFmtId="164" fontId="1" fillId="26" borderId="0" xfId="28" applyNumberFormat="1" applyFill="1" applyBorder="1" applyAlignment="1">
      <alignment vertical="center"/>
    </xf>
    <xf numFmtId="0" fontId="17" fillId="26" borderId="0" xfId="0" applyFont="1" applyFill="1"/>
    <xf numFmtId="0" fontId="5" fillId="26" borderId="21" xfId="0" applyFont="1" applyFill="1" applyBorder="1" applyAlignment="1">
      <alignment wrapText="1"/>
    </xf>
    <xf numFmtId="0" fontId="0" fillId="26" borderId="24" xfId="0" applyFill="1" applyBorder="1" applyAlignment="1">
      <alignment horizontal="center" vertical="center" textRotation="90" wrapText="1"/>
    </xf>
    <xf numFmtId="0" fontId="15" fillId="26" borderId="24" xfId="0" applyFont="1" applyFill="1" applyBorder="1"/>
    <xf numFmtId="49" fontId="9" fillId="26" borderId="24" xfId="0" applyNumberFormat="1" applyFont="1" applyFill="1" applyBorder="1" applyAlignment="1">
      <alignment horizontal="center" vertical="center" textRotation="90" wrapText="1"/>
    </xf>
    <xf numFmtId="0" fontId="11" fillId="26" borderId="11" xfId="0" applyFont="1" applyFill="1" applyBorder="1" applyAlignment="1">
      <alignment vertical="center" textRotation="90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1" fontId="0" fillId="0" borderId="14" xfId="0" applyNumberFormat="1" applyBorder="1" applyAlignment="1">
      <alignment vertical="center"/>
    </xf>
    <xf numFmtId="164" fontId="1" fillId="0" borderId="27" xfId="28" applyNumberFormat="1" applyFont="1" applyFill="1" applyBorder="1" applyAlignment="1">
      <alignment vertical="center"/>
    </xf>
    <xf numFmtId="164" fontId="0" fillId="0" borderId="20" xfId="28" applyNumberFormat="1" applyFont="1" applyFill="1" applyBorder="1" applyAlignment="1">
      <alignment vertical="center"/>
    </xf>
    <xf numFmtId="164" fontId="4" fillId="0" borderId="24" xfId="28" applyNumberFormat="1" applyFont="1" applyFill="1" applyBorder="1" applyAlignment="1">
      <alignment vertical="center"/>
    </xf>
    <xf numFmtId="164" fontId="0" fillId="0" borderId="57" xfId="28" applyNumberFormat="1" applyFont="1" applyFill="1" applyBorder="1" applyAlignment="1">
      <alignment vertical="center"/>
    </xf>
    <xf numFmtId="0" fontId="1" fillId="0" borderId="55" xfId="0" applyFont="1" applyBorder="1" applyAlignment="1">
      <alignment vertical="center"/>
    </xf>
    <xf numFmtId="164" fontId="4" fillId="0" borderId="47" xfId="28" applyNumberFormat="1" applyFont="1" applyFill="1" applyBorder="1" applyAlignment="1">
      <alignment vertical="center"/>
    </xf>
    <xf numFmtId="165" fontId="3" fillId="27" borderId="35" xfId="29" applyNumberFormat="1" applyFont="1" applyFill="1" applyBorder="1" applyAlignment="1">
      <alignment vertical="center"/>
    </xf>
    <xf numFmtId="0" fontId="0" fillId="27" borderId="0" xfId="0" applyFill="1" applyAlignment="1">
      <alignment vertical="center"/>
    </xf>
    <xf numFmtId="164" fontId="4" fillId="27" borderId="13" xfId="28" applyNumberFormat="1" applyFont="1" applyFill="1" applyBorder="1" applyAlignment="1">
      <alignment vertical="center"/>
    </xf>
    <xf numFmtId="165" fontId="3" fillId="27" borderId="10" xfId="29" applyNumberFormat="1" applyFont="1" applyFill="1" applyBorder="1" applyAlignment="1">
      <alignment vertical="center"/>
    </xf>
    <xf numFmtId="0" fontId="5" fillId="27" borderId="22" xfId="0" applyFont="1" applyFill="1" applyBorder="1" applyAlignment="1">
      <alignment wrapText="1"/>
    </xf>
    <xf numFmtId="0" fontId="17" fillId="27" borderId="0" xfId="0" applyFont="1" applyFill="1" applyAlignment="1">
      <alignment vertical="center"/>
    </xf>
    <xf numFmtId="164" fontId="4" fillId="27" borderId="0" xfId="28" applyNumberFormat="1" applyFont="1" applyFill="1" applyAlignment="1">
      <alignment vertical="center"/>
    </xf>
    <xf numFmtId="0" fontId="5" fillId="27" borderId="0" xfId="0" applyFont="1" applyFill="1" applyAlignment="1">
      <alignment horizontal="left" vertical="center"/>
    </xf>
    <xf numFmtId="41" fontId="0" fillId="27" borderId="0" xfId="0" applyNumberFormat="1" applyFill="1" applyAlignment="1">
      <alignment vertical="center"/>
    </xf>
    <xf numFmtId="164" fontId="0" fillId="27" borderId="0" xfId="28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4" fontId="4" fillId="0" borderId="27" xfId="28" applyNumberFormat="1" applyFont="1" applyFill="1" applyBorder="1" applyAlignment="1">
      <alignment vertical="center"/>
    </xf>
    <xf numFmtId="164" fontId="3" fillId="0" borderId="10" xfId="28" applyNumberFormat="1" applyFont="1" applyFill="1" applyBorder="1" applyAlignment="1">
      <alignment horizontal="right" vertical="center"/>
    </xf>
    <xf numFmtId="164" fontId="1" fillId="0" borderId="16" xfId="28" applyNumberFormat="1" applyFont="1" applyFill="1" applyBorder="1" applyAlignment="1">
      <alignment horizontal="right" vertical="center"/>
    </xf>
    <xf numFmtId="164" fontId="0" fillId="0" borderId="20" xfId="28" applyNumberFormat="1" applyFont="1" applyBorder="1" applyAlignment="1">
      <alignment vertical="center"/>
    </xf>
    <xf numFmtId="164" fontId="0" fillId="0" borderId="19" xfId="28" applyNumberFormat="1" applyFont="1" applyBorder="1" applyAlignment="1">
      <alignment vertical="center"/>
    </xf>
    <xf numFmtId="164" fontId="3" fillId="0" borderId="42" xfId="28" applyNumberFormat="1" applyFont="1" applyFill="1" applyBorder="1" applyAlignment="1">
      <alignment vertical="center"/>
    </xf>
    <xf numFmtId="17" fontId="1" fillId="0" borderId="13" xfId="0" quotePrefix="1" applyNumberFormat="1" applyFont="1" applyBorder="1" applyAlignment="1">
      <alignment vertical="center"/>
    </xf>
    <xf numFmtId="49" fontId="3" fillId="0" borderId="0" xfId="28" applyNumberFormat="1" applyFont="1" applyBorder="1" applyAlignment="1">
      <alignment horizontal="right" vertical="center" wrapText="1"/>
    </xf>
    <xf numFmtId="164" fontId="3" fillId="0" borderId="52" xfId="28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 textRotation="90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 textRotation="90" wrapText="1"/>
    </xf>
    <xf numFmtId="49" fontId="1" fillId="0" borderId="0" xfId="0" applyNumberFormat="1" applyFont="1" applyAlignment="1">
      <alignment vertical="center" wrapText="1"/>
    </xf>
    <xf numFmtId="43" fontId="0" fillId="0" borderId="0" xfId="28" applyFont="1" applyFill="1" applyAlignment="1">
      <alignment vertical="center"/>
    </xf>
    <xf numFmtId="43" fontId="0" fillId="0" borderId="0" xfId="28" applyFont="1" applyFill="1" applyBorder="1" applyAlignment="1">
      <alignment vertical="center"/>
    </xf>
    <xf numFmtId="43" fontId="18" fillId="0" borderId="0" xfId="28" applyFont="1" applyAlignment="1">
      <alignment horizontal="center" vertical="center" wrapText="1"/>
    </xf>
    <xf numFmtId="43" fontId="0" fillId="0" borderId="0" xfId="28" applyFont="1" applyAlignment="1">
      <alignment vertical="center"/>
    </xf>
    <xf numFmtId="166" fontId="0" fillId="0" borderId="0" xfId="29" applyNumberFormat="1" applyFont="1" applyAlignment="1">
      <alignment vertical="center"/>
    </xf>
    <xf numFmtId="166" fontId="0" fillId="0" borderId="0" xfId="29" applyNumberFormat="1" applyFont="1" applyFill="1" applyBorder="1" applyAlignment="1">
      <alignment vertical="center"/>
    </xf>
    <xf numFmtId="166" fontId="18" fillId="0" borderId="0" xfId="29" applyNumberFormat="1" applyFont="1" applyAlignment="1">
      <alignment vertical="center"/>
    </xf>
    <xf numFmtId="166" fontId="0" fillId="0" borderId="0" xfId="29" applyNumberFormat="1" applyFont="1" applyFill="1" applyAlignment="1">
      <alignment vertical="center"/>
    </xf>
    <xf numFmtId="164" fontId="0" fillId="26" borderId="0" xfId="0" applyNumberFormat="1" applyFill="1"/>
    <xf numFmtId="164" fontId="0" fillId="0" borderId="27" xfId="28" applyNumberFormat="1" applyFont="1" applyFill="1" applyBorder="1" applyAlignment="1">
      <alignment vertical="center"/>
    </xf>
    <xf numFmtId="164" fontId="0" fillId="26" borderId="0" xfId="0" applyNumberFormat="1" applyFill="1" applyAlignment="1">
      <alignment vertical="center"/>
    </xf>
    <xf numFmtId="164" fontId="38" fillId="0" borderId="26" xfId="28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24" xfId="0" applyNumberFormat="1" applyBorder="1" applyAlignment="1">
      <alignment vertical="center"/>
    </xf>
    <xf numFmtId="164" fontId="0" fillId="0" borderId="47" xfId="28" applyNumberFormat="1" applyFont="1" applyBorder="1" applyAlignment="1">
      <alignment vertical="center"/>
    </xf>
    <xf numFmtId="49" fontId="0" fillId="0" borderId="24" xfId="0" applyNumberFormat="1" applyBorder="1" applyAlignment="1">
      <alignment vertical="center"/>
    </xf>
    <xf numFmtId="164" fontId="4" fillId="0" borderId="55" xfId="28" applyNumberFormat="1" applyFont="1" applyFill="1" applyBorder="1" applyAlignment="1">
      <alignment vertical="center"/>
    </xf>
    <xf numFmtId="165" fontId="3" fillId="0" borderId="21" xfId="29" applyNumberFormat="1" applyFont="1" applyFill="1" applyBorder="1" applyAlignment="1"/>
    <xf numFmtId="2" fontId="3" fillId="0" borderId="59" xfId="0" applyNumberFormat="1" applyFont="1" applyBorder="1" applyAlignment="1">
      <alignment horizontal="right"/>
    </xf>
    <xf numFmtId="49" fontId="1" fillId="0" borderId="60" xfId="0" applyNumberFormat="1" applyFont="1" applyBorder="1" applyAlignment="1">
      <alignment vertical="center"/>
    </xf>
    <xf numFmtId="164" fontId="4" fillId="0" borderId="61" xfId="28" applyNumberFormat="1" applyFont="1" applyFill="1" applyBorder="1" applyAlignment="1">
      <alignment vertical="center"/>
    </xf>
    <xf numFmtId="164" fontId="4" fillId="0" borderId="62" xfId="28" applyNumberFormat="1" applyFont="1" applyFill="1" applyBorder="1" applyAlignment="1">
      <alignment vertical="center"/>
    </xf>
    <xf numFmtId="165" fontId="3" fillId="0" borderId="59" xfId="29" applyNumberFormat="1" applyFont="1" applyFill="1" applyBorder="1" applyAlignment="1">
      <alignment horizontal="right"/>
    </xf>
    <xf numFmtId="164" fontId="4" fillId="0" borderId="63" xfId="28" applyNumberFormat="1" applyFont="1" applyFill="1" applyBorder="1" applyAlignment="1">
      <alignment vertical="center"/>
    </xf>
    <xf numFmtId="49" fontId="0" fillId="0" borderId="63" xfId="0" applyNumberFormat="1" applyBorder="1" applyAlignment="1">
      <alignment vertical="center"/>
    </xf>
    <xf numFmtId="2" fontId="0" fillId="0" borderId="63" xfId="0" applyNumberFormat="1" applyBorder="1" applyAlignment="1">
      <alignment vertical="center"/>
    </xf>
    <xf numFmtId="164" fontId="4" fillId="0" borderId="25" xfId="28" applyNumberFormat="1" applyFont="1" applyFill="1" applyBorder="1" applyAlignment="1">
      <alignment vertical="center"/>
    </xf>
    <xf numFmtId="49" fontId="0" fillId="0" borderId="25" xfId="0" applyNumberFormat="1" applyBorder="1" applyAlignment="1">
      <alignment vertical="center"/>
    </xf>
    <xf numFmtId="2" fontId="36" fillId="0" borderId="24" xfId="0" quotePrefix="1" applyNumberFormat="1" applyFont="1" applyBorder="1" applyAlignment="1">
      <alignment vertical="center"/>
    </xf>
    <xf numFmtId="2" fontId="1" fillId="0" borderId="29" xfId="0" applyNumberFormat="1" applyFont="1" applyBorder="1" applyAlignment="1">
      <alignment vertical="center"/>
    </xf>
    <xf numFmtId="165" fontId="3" fillId="0" borderId="65" xfId="29" applyNumberFormat="1" applyFont="1" applyBorder="1" applyAlignment="1">
      <alignment vertical="center"/>
    </xf>
    <xf numFmtId="164" fontId="38" fillId="0" borderId="24" xfId="28" applyNumberFormat="1" applyFont="1" applyFill="1" applyBorder="1" applyAlignment="1">
      <alignment vertical="center"/>
    </xf>
    <xf numFmtId="164" fontId="1" fillId="27" borderId="13" xfId="28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0" fillId="0" borderId="17" xfId="28" applyNumberFormat="1" applyFont="1" applyBorder="1" applyAlignment="1">
      <alignment vertical="center"/>
    </xf>
    <xf numFmtId="0" fontId="3" fillId="26" borderId="37" xfId="0" applyFont="1" applyFill="1" applyBorder="1" applyAlignment="1">
      <alignment vertical="center"/>
    </xf>
    <xf numFmtId="0" fontId="3" fillId="26" borderId="16" xfId="0" applyFont="1" applyFill="1" applyBorder="1" applyAlignment="1">
      <alignment vertical="center"/>
    </xf>
    <xf numFmtId="0" fontId="3" fillId="26" borderId="21" xfId="0" applyFont="1" applyFill="1" applyBorder="1" applyAlignment="1">
      <alignment vertical="center"/>
    </xf>
    <xf numFmtId="0" fontId="3" fillId="26" borderId="24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 wrapText="1"/>
    </xf>
    <xf numFmtId="164" fontId="3" fillId="0" borderId="16" xfId="28" applyNumberFormat="1" applyFont="1" applyFill="1" applyBorder="1" applyAlignment="1">
      <alignment horizontal="center" vertical="center" wrapText="1"/>
    </xf>
    <xf numFmtId="41" fontId="3" fillId="0" borderId="10" xfId="0" applyNumberFormat="1" applyFont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164" fontId="4" fillId="0" borderId="10" xfId="28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164" fontId="1" fillId="27" borderId="27" xfId="28" applyNumberFormat="1" applyFont="1" applyFill="1" applyBorder="1" applyAlignment="1">
      <alignment vertical="center"/>
    </xf>
    <xf numFmtId="0" fontId="1" fillId="27" borderId="13" xfId="0" applyFont="1" applyFill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164" fontId="0" fillId="27" borderId="20" xfId="28" applyNumberFormat="1" applyFont="1" applyFill="1" applyBorder="1" applyAlignment="1">
      <alignment vertical="center"/>
    </xf>
    <xf numFmtId="164" fontId="0" fillId="27" borderId="18" xfId="28" applyNumberFormat="1" applyFont="1" applyFill="1" applyBorder="1" applyAlignment="1">
      <alignment vertical="center"/>
    </xf>
    <xf numFmtId="164" fontId="1" fillId="0" borderId="13" xfId="28" applyNumberFormat="1" applyFont="1" applyBorder="1" applyAlignment="1">
      <alignment vertical="center"/>
    </xf>
    <xf numFmtId="49" fontId="1" fillId="0" borderId="47" xfId="0" applyNumberFormat="1" applyFont="1" applyBorder="1" applyAlignment="1">
      <alignment vertical="center" wrapText="1"/>
    </xf>
    <xf numFmtId="164" fontId="1" fillId="0" borderId="26" xfId="28" applyNumberFormat="1" applyFont="1" applyFill="1" applyBorder="1" applyAlignment="1">
      <alignment vertical="center"/>
    </xf>
    <xf numFmtId="164" fontId="1" fillId="0" borderId="18" xfId="28" applyNumberFormat="1" applyFont="1" applyFill="1" applyBorder="1" applyAlignment="1">
      <alignment vertical="center"/>
    </xf>
    <xf numFmtId="0" fontId="1" fillId="0" borderId="47" xfId="0" applyFont="1" applyBorder="1" applyAlignment="1">
      <alignment vertical="center"/>
    </xf>
    <xf numFmtId="164" fontId="1" fillId="0" borderId="19" xfId="28" applyNumberFormat="1" applyFont="1" applyFill="1" applyBorder="1" applyAlignment="1">
      <alignment vertical="center"/>
    </xf>
    <xf numFmtId="0" fontId="6" fillId="0" borderId="66" xfId="0" applyFont="1" applyBorder="1" applyAlignment="1">
      <alignment horizontal="center" vertical="center" textRotation="90"/>
    </xf>
    <xf numFmtId="164" fontId="3" fillId="27" borderId="13" xfId="28" applyNumberFormat="1" applyFont="1" applyFill="1" applyBorder="1" applyAlignment="1">
      <alignment vertical="center"/>
    </xf>
    <xf numFmtId="164" fontId="4" fillId="27" borderId="18" xfId="28" applyNumberFormat="1" applyFont="1" applyFill="1" applyBorder="1" applyAlignment="1">
      <alignment vertical="center"/>
    </xf>
    <xf numFmtId="164" fontId="3" fillId="27" borderId="47" xfId="28" applyNumberFormat="1" applyFont="1" applyFill="1" applyBorder="1" applyAlignment="1">
      <alignment vertical="center"/>
    </xf>
    <xf numFmtId="44" fontId="0" fillId="0" borderId="0" xfId="29" applyFont="1" applyAlignment="1">
      <alignment vertical="center"/>
    </xf>
    <xf numFmtId="38" fontId="1" fillId="0" borderId="13" xfId="28" applyNumberFormat="1" applyFont="1" applyFill="1" applyBorder="1" applyAlignment="1">
      <alignment vertical="center"/>
    </xf>
    <xf numFmtId="164" fontId="4" fillId="24" borderId="24" xfId="28" applyNumberFormat="1" applyFont="1" applyFill="1" applyBorder="1" applyAlignment="1">
      <alignment vertical="center"/>
    </xf>
    <xf numFmtId="164" fontId="0" fillId="0" borderId="10" xfId="28" applyNumberFormat="1" applyFont="1" applyBorder="1" applyAlignment="1">
      <alignment vertical="center"/>
    </xf>
    <xf numFmtId="164" fontId="1" fillId="0" borderId="10" xfId="28" applyNumberFormat="1" applyFont="1" applyFill="1" applyBorder="1" applyAlignment="1">
      <alignment vertical="center"/>
    </xf>
    <xf numFmtId="164" fontId="38" fillId="0" borderId="10" xfId="28" applyNumberFormat="1" applyFont="1" applyFill="1" applyBorder="1" applyAlignment="1">
      <alignment vertical="center"/>
    </xf>
    <xf numFmtId="164" fontId="4" fillId="25" borderId="10" xfId="28" applyNumberFormat="1" applyFont="1" applyFill="1" applyBorder="1" applyAlignment="1">
      <alignment vertical="center"/>
    </xf>
    <xf numFmtId="164" fontId="4" fillId="24" borderId="67" xfId="28" applyNumberFormat="1" applyFont="1" applyFill="1" applyBorder="1" applyAlignment="1">
      <alignment vertical="center"/>
    </xf>
    <xf numFmtId="165" fontId="3" fillId="0" borderId="53" xfId="29" applyNumberFormat="1" applyFont="1" applyFill="1" applyBorder="1" applyAlignment="1">
      <alignment vertical="center"/>
    </xf>
    <xf numFmtId="49" fontId="1" fillId="0" borderId="66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68" xfId="0" applyFont="1" applyBorder="1" applyAlignment="1">
      <alignment horizontal="center" vertical="center"/>
    </xf>
    <xf numFmtId="164" fontId="3" fillId="0" borderId="69" xfId="28" applyNumberFormat="1" applyFont="1" applyBorder="1" applyAlignment="1">
      <alignment horizontal="center" vertical="center"/>
    </xf>
    <xf numFmtId="164" fontId="3" fillId="0" borderId="70" xfId="28" applyNumberFormat="1" applyFont="1" applyFill="1" applyBorder="1" applyAlignment="1">
      <alignment horizontal="center" vertical="center"/>
    </xf>
    <xf numFmtId="164" fontId="3" fillId="0" borderId="69" xfId="28" applyNumberFormat="1" applyFont="1" applyFill="1" applyBorder="1" applyAlignment="1">
      <alignment horizontal="center" vertical="center" wrapText="1"/>
    </xf>
    <xf numFmtId="165" fontId="3" fillId="0" borderId="72" xfId="29" applyNumberFormat="1" applyFont="1" applyBorder="1" applyAlignment="1">
      <alignment vertical="center"/>
    </xf>
    <xf numFmtId="165" fontId="3" fillId="0" borderId="69" xfId="29" applyNumberFormat="1" applyFont="1" applyBorder="1" applyAlignment="1">
      <alignment vertical="center"/>
    </xf>
    <xf numFmtId="165" fontId="3" fillId="0" borderId="71" xfId="29" applyNumberFormat="1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21" xfId="0" applyFont="1" applyBorder="1" applyAlignment="1">
      <alignment vertical="center"/>
    </xf>
    <xf numFmtId="49" fontId="1" fillId="0" borderId="26" xfId="0" applyNumberFormat="1" applyFont="1" applyBorder="1" applyAlignment="1">
      <alignment vertical="center" wrapText="1"/>
    </xf>
    <xf numFmtId="164" fontId="1" fillId="0" borderId="16" xfId="28" applyNumberFormat="1" applyFont="1" applyFill="1" applyBorder="1" applyAlignment="1">
      <alignment vertical="center"/>
    </xf>
    <xf numFmtId="0" fontId="3" fillId="0" borderId="73" xfId="0" applyFont="1" applyBorder="1" applyAlignment="1">
      <alignment horizontal="center" vertical="center"/>
    </xf>
    <xf numFmtId="49" fontId="5" fillId="0" borderId="72" xfId="0" applyNumberFormat="1" applyFont="1" applyBorder="1" applyAlignment="1">
      <alignment vertical="center" textRotation="90" wrapText="1"/>
    </xf>
    <xf numFmtId="0" fontId="3" fillId="0" borderId="69" xfId="0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164" fontId="38" fillId="0" borderId="27" xfId="28" applyNumberFormat="1" applyFont="1" applyFill="1" applyBorder="1" applyAlignment="1">
      <alignment vertical="center"/>
    </xf>
    <xf numFmtId="165" fontId="3" fillId="0" borderId="69" xfId="29" applyNumberFormat="1" applyFont="1" applyFill="1" applyBorder="1" applyAlignment="1">
      <alignment vertical="center"/>
    </xf>
    <xf numFmtId="165" fontId="3" fillId="0" borderId="69" xfId="29" applyNumberFormat="1" applyFont="1" applyFill="1" applyBorder="1" applyAlignment="1">
      <alignment horizontal="right" vertical="center" wrapText="1"/>
    </xf>
    <xf numFmtId="165" fontId="3" fillId="0" borderId="71" xfId="29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49" fontId="5" fillId="0" borderId="72" xfId="0" applyNumberFormat="1" applyFont="1" applyBorder="1" applyAlignment="1">
      <alignment horizontal="center" vertical="center" textRotation="90" wrapText="1"/>
    </xf>
    <xf numFmtId="0" fontId="0" fillId="0" borderId="69" xfId="0" applyBorder="1" applyAlignment="1">
      <alignment vertical="center"/>
    </xf>
    <xf numFmtId="49" fontId="3" fillId="0" borderId="69" xfId="0" applyNumberFormat="1" applyFont="1" applyBorder="1" applyAlignment="1">
      <alignment horizontal="right" vertical="center" wrapText="1"/>
    </xf>
    <xf numFmtId="0" fontId="0" fillId="0" borderId="72" xfId="0" applyBorder="1" applyAlignment="1">
      <alignment vertical="center"/>
    </xf>
    <xf numFmtId="2" fontId="1" fillId="0" borderId="69" xfId="0" quotePrefix="1" applyNumberFormat="1" applyFont="1" applyBorder="1" applyAlignment="1">
      <alignment vertical="center"/>
    </xf>
    <xf numFmtId="49" fontId="3" fillId="0" borderId="69" xfId="0" applyNumberFormat="1" applyFont="1" applyBorder="1" applyAlignment="1">
      <alignment horizontal="right" vertical="center"/>
    </xf>
    <xf numFmtId="165" fontId="3" fillId="27" borderId="69" xfId="29" applyNumberFormat="1" applyFont="1" applyFill="1" applyBorder="1" applyAlignment="1">
      <alignment horizontal="right" vertical="center" wrapText="1"/>
    </xf>
    <xf numFmtId="0" fontId="1" fillId="0" borderId="68" xfId="0" applyFont="1" applyBorder="1" applyAlignment="1">
      <alignment horizontal="center" vertical="center" wrapText="1"/>
    </xf>
    <xf numFmtId="49" fontId="1" fillId="0" borderId="69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right" vertical="center"/>
    </xf>
    <xf numFmtId="165" fontId="3" fillId="27" borderId="22" xfId="29" applyNumberFormat="1" applyFont="1" applyFill="1" applyBorder="1" applyAlignment="1">
      <alignment vertical="center"/>
    </xf>
    <xf numFmtId="165" fontId="3" fillId="0" borderId="22" xfId="29" applyNumberFormat="1" applyFont="1" applyFill="1" applyBorder="1" applyAlignment="1">
      <alignment vertical="center"/>
    </xf>
    <xf numFmtId="164" fontId="0" fillId="0" borderId="10" xfId="0" applyNumberFormat="1" applyBorder="1"/>
    <xf numFmtId="42" fontId="1" fillId="0" borderId="17" xfId="28" applyNumberFormat="1" applyFont="1" applyBorder="1" applyAlignment="1">
      <alignment vertical="center"/>
    </xf>
    <xf numFmtId="42" fontId="1" fillId="0" borderId="13" xfId="28" applyNumberFormat="1" applyFont="1" applyBorder="1" applyAlignment="1">
      <alignment vertical="center"/>
    </xf>
    <xf numFmtId="42" fontId="1" fillId="0" borderId="13" xfId="28" applyNumberFormat="1" applyFont="1" applyFill="1" applyBorder="1" applyAlignment="1">
      <alignment vertical="center"/>
    </xf>
    <xf numFmtId="42" fontId="3" fillId="0" borderId="35" xfId="28" applyNumberFormat="1" applyFont="1" applyFill="1" applyBorder="1" applyAlignment="1">
      <alignment vertical="center"/>
    </xf>
    <xf numFmtId="42" fontId="3" fillId="0" borderId="36" xfId="28" applyNumberFormat="1" applyFont="1" applyFill="1" applyBorder="1" applyAlignment="1">
      <alignment vertical="center"/>
    </xf>
    <xf numFmtId="165" fontId="3" fillId="27" borderId="75" xfId="29" applyNumberFormat="1" applyFont="1" applyFill="1" applyBorder="1" applyAlignment="1">
      <alignment vertical="center"/>
    </xf>
    <xf numFmtId="165" fontId="3" fillId="0" borderId="75" xfId="29" applyNumberFormat="1" applyFont="1" applyFill="1" applyBorder="1" applyAlignment="1">
      <alignment vertical="center"/>
    </xf>
    <xf numFmtId="0" fontId="0" fillId="0" borderId="74" xfId="0" applyBorder="1" applyAlignment="1">
      <alignment vertical="center"/>
    </xf>
    <xf numFmtId="0" fontId="1" fillId="0" borderId="74" xfId="0" applyFont="1" applyBorder="1" applyAlignment="1">
      <alignment vertical="center"/>
    </xf>
    <xf numFmtId="41" fontId="0" fillId="0" borderId="74" xfId="0" applyNumberFormat="1" applyBorder="1" applyAlignment="1">
      <alignment vertical="center"/>
    </xf>
    <xf numFmtId="0" fontId="0" fillId="0" borderId="74" xfId="0" applyBorder="1" applyAlignment="1">
      <alignment horizontal="left" vertical="center"/>
    </xf>
    <xf numFmtId="0" fontId="0" fillId="0" borderId="76" xfId="0" applyBorder="1" applyAlignment="1">
      <alignment vertical="center"/>
    </xf>
    <xf numFmtId="0" fontId="1" fillId="0" borderId="76" xfId="0" applyFont="1" applyBorder="1" applyAlignment="1">
      <alignment vertical="center"/>
    </xf>
    <xf numFmtId="41" fontId="0" fillId="0" borderId="76" xfId="0" applyNumberFormat="1" applyBorder="1" applyAlignment="1">
      <alignment vertical="center"/>
    </xf>
    <xf numFmtId="41" fontId="0" fillId="27" borderId="76" xfId="0" applyNumberFormat="1" applyFill="1" applyBorder="1" applyAlignment="1">
      <alignment vertical="center"/>
    </xf>
    <xf numFmtId="41" fontId="3" fillId="0" borderId="77" xfId="28" applyNumberFormat="1" applyFont="1" applyFill="1" applyBorder="1" applyAlignment="1">
      <alignment horizontal="center" vertical="center" wrapText="1"/>
    </xf>
    <xf numFmtId="41" fontId="3" fillId="0" borderId="78" xfId="28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77" xfId="0" applyBorder="1" applyAlignment="1">
      <alignment vertical="center"/>
    </xf>
    <xf numFmtId="49" fontId="3" fillId="0" borderId="78" xfId="0" applyNumberFormat="1" applyFont="1" applyBorder="1" applyAlignment="1">
      <alignment horizontal="right" vertical="center"/>
    </xf>
    <xf numFmtId="165" fontId="3" fillId="27" borderId="78" xfId="29" applyNumberFormat="1" applyFont="1" applyFill="1" applyBorder="1" applyAlignment="1">
      <alignment vertical="center"/>
    </xf>
    <xf numFmtId="165" fontId="3" fillId="0" borderId="78" xfId="29" applyNumberFormat="1" applyFont="1" applyFill="1" applyBorder="1" applyAlignment="1">
      <alignment vertical="center"/>
    </xf>
    <xf numFmtId="165" fontId="3" fillId="0" borderId="79" xfId="29" applyNumberFormat="1" applyFont="1" applyFill="1" applyBorder="1" applyAlignment="1">
      <alignment vertical="center"/>
    </xf>
    <xf numFmtId="0" fontId="1" fillId="27" borderId="74" xfId="0" applyFont="1" applyFill="1" applyBorder="1" applyAlignment="1">
      <alignment vertical="center"/>
    </xf>
    <xf numFmtId="49" fontId="0" fillId="27" borderId="74" xfId="0" applyNumberFormat="1" applyFill="1" applyBorder="1" applyAlignment="1">
      <alignment vertical="center" wrapText="1"/>
    </xf>
    <xf numFmtId="164" fontId="0" fillId="27" borderId="74" xfId="28" applyNumberFormat="1" applyFont="1" applyFill="1" applyBorder="1" applyAlignment="1">
      <alignment vertical="center"/>
    </xf>
    <xf numFmtId="164" fontId="1" fillId="27" borderId="74" xfId="28" applyNumberFormat="1" applyFont="1" applyFill="1" applyBorder="1" applyAlignment="1">
      <alignment vertical="center"/>
    </xf>
    <xf numFmtId="164" fontId="3" fillId="0" borderId="74" xfId="28" applyNumberFormat="1" applyFont="1" applyFill="1" applyBorder="1" applyAlignment="1">
      <alignment vertical="center"/>
    </xf>
    <xf numFmtId="164" fontId="0" fillId="0" borderId="74" xfId="28" applyNumberFormat="1" applyFont="1" applyFill="1" applyBorder="1" applyAlignment="1">
      <alignment vertical="center"/>
    </xf>
    <xf numFmtId="0" fontId="0" fillId="27" borderId="74" xfId="0" applyFill="1" applyBorder="1" applyAlignment="1">
      <alignment vertical="center"/>
    </xf>
    <xf numFmtId="164" fontId="1" fillId="0" borderId="74" xfId="28" applyNumberFormat="1" applyFont="1" applyFill="1" applyBorder="1" applyAlignment="1">
      <alignment vertical="center"/>
    </xf>
    <xf numFmtId="49" fontId="4" fillId="27" borderId="74" xfId="0" applyNumberFormat="1" applyFont="1" applyFill="1" applyBorder="1" applyAlignment="1">
      <alignment vertical="center" wrapText="1"/>
    </xf>
    <xf numFmtId="49" fontId="1" fillId="27" borderId="74" xfId="0" applyNumberFormat="1" applyFont="1" applyFill="1" applyBorder="1" applyAlignment="1">
      <alignment vertical="center" wrapText="1"/>
    </xf>
    <xf numFmtId="49" fontId="0" fillId="0" borderId="74" xfId="0" applyNumberFormat="1" applyBorder="1" applyAlignment="1">
      <alignment vertical="center" wrapText="1"/>
    </xf>
    <xf numFmtId="164" fontId="3" fillId="27" borderId="74" xfId="28" applyNumberFormat="1" applyFont="1" applyFill="1" applyBorder="1" applyAlignment="1">
      <alignment vertical="center"/>
    </xf>
    <xf numFmtId="164" fontId="39" fillId="0" borderId="74" xfId="28" applyNumberFormat="1" applyFont="1" applyFill="1" applyBorder="1" applyAlignment="1">
      <alignment vertical="center"/>
    </xf>
    <xf numFmtId="49" fontId="0" fillId="0" borderId="74" xfId="0" applyNumberFormat="1" applyBorder="1" applyAlignment="1">
      <alignment horizontal="left" vertical="center" wrapText="1"/>
    </xf>
    <xf numFmtId="49" fontId="1" fillId="0" borderId="74" xfId="0" applyNumberFormat="1" applyFont="1" applyBorder="1" applyAlignment="1">
      <alignment horizontal="left" vertical="center" wrapText="1"/>
    </xf>
    <xf numFmtId="0" fontId="1" fillId="27" borderId="76" xfId="0" applyFont="1" applyFill="1" applyBorder="1" applyAlignment="1">
      <alignment vertical="center"/>
    </xf>
    <xf numFmtId="49" fontId="0" fillId="27" borderId="76" xfId="0" applyNumberFormat="1" applyFill="1" applyBorder="1" applyAlignment="1">
      <alignment vertical="center" wrapText="1"/>
    </xf>
    <xf numFmtId="164" fontId="0" fillId="27" borderId="76" xfId="28" applyNumberFormat="1" applyFont="1" applyFill="1" applyBorder="1" applyAlignment="1">
      <alignment vertical="center"/>
    </xf>
    <xf numFmtId="164" fontId="1" fillId="27" borderId="76" xfId="28" applyNumberFormat="1" applyFont="1" applyFill="1" applyBorder="1" applyAlignment="1">
      <alignment vertical="center"/>
    </xf>
    <xf numFmtId="164" fontId="3" fillId="0" borderId="76" xfId="28" applyNumberFormat="1" applyFont="1" applyFill="1" applyBorder="1" applyAlignment="1">
      <alignment vertical="center"/>
    </xf>
    <xf numFmtId="0" fontId="0" fillId="0" borderId="80" xfId="0" applyBorder="1" applyAlignment="1">
      <alignment vertical="center"/>
    </xf>
    <xf numFmtId="49" fontId="0" fillId="0" borderId="80" xfId="0" applyNumberFormat="1" applyBorder="1" applyAlignment="1">
      <alignment horizontal="left" vertical="center" wrapText="1"/>
    </xf>
    <xf numFmtId="164" fontId="0" fillId="0" borderId="80" xfId="28" applyNumberFormat="1" applyFont="1" applyFill="1" applyBorder="1" applyAlignment="1">
      <alignment vertical="center"/>
    </xf>
    <xf numFmtId="164" fontId="0" fillId="27" borderId="80" xfId="28" applyNumberFormat="1" applyFont="1" applyFill="1" applyBorder="1" applyAlignment="1">
      <alignment vertical="center"/>
    </xf>
    <xf numFmtId="164" fontId="3" fillId="0" borderId="80" xfId="28" applyNumberFormat="1" applyFont="1" applyFill="1" applyBorder="1" applyAlignment="1">
      <alignment vertical="center"/>
    </xf>
    <xf numFmtId="164" fontId="1" fillId="0" borderId="80" xfId="28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49" fontId="0" fillId="0" borderId="27" xfId="0" applyNumberFormat="1" applyBorder="1" applyAlignment="1">
      <alignment vertical="center" wrapText="1"/>
    </xf>
    <xf numFmtId="164" fontId="0" fillId="0" borderId="27" xfId="28" applyNumberFormat="1" applyFont="1" applyFill="1" applyBorder="1" applyAlignment="1">
      <alignment vertical="center" wrapText="1"/>
    </xf>
    <xf numFmtId="49" fontId="0" fillId="0" borderId="74" xfId="0" applyNumberFormat="1" applyBorder="1" applyAlignment="1">
      <alignment vertical="center"/>
    </xf>
    <xf numFmtId="164" fontId="1" fillId="0" borderId="74" xfId="28" applyNumberFormat="1" applyFill="1" applyBorder="1" applyAlignment="1">
      <alignment vertical="center"/>
    </xf>
    <xf numFmtId="2" fontId="1" fillId="0" borderId="74" xfId="0" applyNumberFormat="1" applyFont="1" applyBorder="1" applyAlignment="1">
      <alignment vertical="center"/>
    </xf>
    <xf numFmtId="164" fontId="38" fillId="0" borderId="74" xfId="28" applyNumberFormat="1" applyFont="1" applyFill="1" applyBorder="1" applyAlignment="1">
      <alignment vertical="center"/>
    </xf>
    <xf numFmtId="49" fontId="1" fillId="0" borderId="74" xfId="0" applyNumberFormat="1" applyFont="1" applyBorder="1" applyAlignment="1">
      <alignment vertical="center"/>
    </xf>
    <xf numFmtId="43" fontId="0" fillId="0" borderId="74" xfId="28" applyFont="1" applyFill="1" applyBorder="1" applyAlignment="1">
      <alignment vertical="center"/>
    </xf>
    <xf numFmtId="2" fontId="1" fillId="0" borderId="80" xfId="0" applyNumberFormat="1" applyFont="1" applyBorder="1" applyAlignment="1">
      <alignment vertical="center"/>
    </xf>
    <xf numFmtId="49" fontId="1" fillId="0" borderId="80" xfId="0" applyNumberFormat="1" applyFont="1" applyBorder="1" applyAlignment="1">
      <alignment vertical="center"/>
    </xf>
    <xf numFmtId="2" fontId="0" fillId="0" borderId="27" xfId="0" quotePrefix="1" applyNumberFormat="1" applyBorder="1" applyAlignment="1">
      <alignment vertical="center"/>
    </xf>
    <xf numFmtId="49" fontId="0" fillId="0" borderId="27" xfId="0" applyNumberFormat="1" applyBorder="1" applyAlignment="1">
      <alignment vertical="center"/>
    </xf>
    <xf numFmtId="2" fontId="0" fillId="0" borderId="27" xfId="0" applyNumberFormat="1" applyBorder="1" applyAlignment="1">
      <alignment vertical="center"/>
    </xf>
    <xf numFmtId="2" fontId="0" fillId="0" borderId="74" xfId="0" quotePrefix="1" applyNumberFormat="1" applyBorder="1" applyAlignment="1">
      <alignment vertical="center"/>
    </xf>
    <xf numFmtId="2" fontId="0" fillId="0" borderId="74" xfId="0" applyNumberFormat="1" applyBorder="1" applyAlignment="1">
      <alignment vertical="center"/>
    </xf>
    <xf numFmtId="164" fontId="3" fillId="28" borderId="13" xfId="28" applyNumberFormat="1" applyFont="1" applyFill="1" applyBorder="1" applyAlignment="1">
      <alignment vertical="center"/>
    </xf>
    <xf numFmtId="164" fontId="3" fillId="28" borderId="17" xfId="28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0" xfId="0" quotePrefix="1" applyFont="1" applyBorder="1" applyAlignment="1">
      <alignment vertical="center"/>
    </xf>
    <xf numFmtId="17" fontId="1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9" fontId="1" fillId="0" borderId="74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8" fontId="1" fillId="0" borderId="14" xfId="28" applyNumberFormat="1" applyFont="1" applyFill="1" applyBorder="1" applyAlignment="1">
      <alignment vertical="center"/>
    </xf>
    <xf numFmtId="0" fontId="0" fillId="0" borderId="10" xfId="0" applyBorder="1"/>
    <xf numFmtId="2" fontId="1" fillId="0" borderId="13" xfId="0" applyNumberFormat="1" applyFont="1" applyBorder="1" applyAlignment="1">
      <alignment vertical="center"/>
    </xf>
    <xf numFmtId="164" fontId="1" fillId="0" borderId="64" xfId="28" applyNumberFormat="1" applyFont="1" applyFill="1" applyBorder="1" applyAlignment="1">
      <alignment vertical="center"/>
    </xf>
    <xf numFmtId="43" fontId="13" fillId="0" borderId="0" xfId="28" applyFont="1" applyAlignment="1">
      <alignment vertical="center"/>
    </xf>
    <xf numFmtId="43" fontId="0" fillId="0" borderId="0" xfId="28" applyFont="1" applyAlignment="1">
      <alignment vertical="center" wrapText="1"/>
    </xf>
    <xf numFmtId="0" fontId="1" fillId="0" borderId="81" xfId="0" applyFont="1" applyBorder="1" applyAlignment="1">
      <alignment horizontal="left" vertical="center"/>
    </xf>
    <xf numFmtId="164" fontId="1" fillId="0" borderId="55" xfId="28" applyNumberFormat="1" applyFill="1" applyBorder="1" applyAlignment="1">
      <alignment vertical="center"/>
    </xf>
    <xf numFmtId="164" fontId="1" fillId="0" borderId="47" xfId="28" applyNumberFormat="1" applyFill="1" applyBorder="1" applyAlignment="1">
      <alignment vertical="center"/>
    </xf>
    <xf numFmtId="165" fontId="17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1" fillId="0" borderId="33" xfId="0" applyNumberFormat="1" applyFont="1" applyBorder="1" applyAlignment="1">
      <alignment horizontal="right" vertical="center"/>
    </xf>
    <xf numFmtId="164" fontId="0" fillId="0" borderId="0" xfId="0" applyNumberFormat="1" applyAlignment="1">
      <alignment vertical="top" wrapText="1"/>
    </xf>
    <xf numFmtId="49" fontId="1" fillId="0" borderId="15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164" fontId="1" fillId="0" borderId="24" xfId="28" applyNumberFormat="1" applyFill="1" applyBorder="1" applyAlignment="1">
      <alignment vertical="center"/>
    </xf>
    <xf numFmtId="43" fontId="0" fillId="0" borderId="0" xfId="28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3" fillId="0" borderId="11" xfId="0" applyNumberFormat="1" applyFont="1" applyBorder="1" applyAlignment="1">
      <alignment horizontal="right" vertical="center" wrapText="1"/>
    </xf>
    <xf numFmtId="49" fontId="3" fillId="0" borderId="23" xfId="0" applyNumberFormat="1" applyFont="1" applyBorder="1" applyAlignment="1">
      <alignment horizontal="right" vertical="center" wrapText="1"/>
    </xf>
    <xf numFmtId="49" fontId="3" fillId="0" borderId="24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 vertical="center" wrapText="1"/>
    </xf>
    <xf numFmtId="49" fontId="3" fillId="0" borderId="37" xfId="0" applyNumberFormat="1" applyFont="1" applyBorder="1" applyAlignment="1">
      <alignment horizontal="right" vertical="center" wrapText="1"/>
    </xf>
    <xf numFmtId="49" fontId="9" fillId="0" borderId="27" xfId="0" applyNumberFormat="1" applyFont="1" applyBorder="1" applyAlignment="1">
      <alignment horizontal="center" vertical="center" textRotation="90" wrapText="1"/>
    </xf>
    <xf numFmtId="49" fontId="9" fillId="0" borderId="16" xfId="0" applyNumberFormat="1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49" fontId="42" fillId="0" borderId="25" xfId="0" applyNumberFormat="1" applyFont="1" applyBorder="1" applyAlignment="1">
      <alignment horizontal="center" vertical="center" textRotation="90" wrapText="1"/>
    </xf>
    <xf numFmtId="49" fontId="42" fillId="0" borderId="27" xfId="0" applyNumberFormat="1" applyFont="1" applyBorder="1" applyAlignment="1">
      <alignment horizontal="center" vertical="center" textRotation="90" wrapText="1"/>
    </xf>
    <xf numFmtId="49" fontId="42" fillId="0" borderId="16" xfId="0" applyNumberFormat="1" applyFont="1" applyBorder="1" applyAlignment="1">
      <alignment horizontal="center" vertical="center" textRotation="90" wrapText="1"/>
    </xf>
    <xf numFmtId="49" fontId="6" fillId="0" borderId="38" xfId="0" applyNumberFormat="1" applyFont="1" applyBorder="1" applyAlignment="1">
      <alignment horizontal="center" vertical="center" textRotation="90" wrapText="1"/>
    </xf>
    <xf numFmtId="49" fontId="6" fillId="0" borderId="27" xfId="0" applyNumberFormat="1" applyFont="1" applyBorder="1" applyAlignment="1">
      <alignment horizontal="center" vertical="center" textRotation="90" wrapText="1"/>
    </xf>
    <xf numFmtId="49" fontId="6" fillId="0" borderId="33" xfId="0" applyNumberFormat="1" applyFont="1" applyBorder="1" applyAlignment="1">
      <alignment horizontal="center" vertical="center" textRotation="90" wrapText="1"/>
    </xf>
    <xf numFmtId="49" fontId="6" fillId="0" borderId="16" xfId="0" applyNumberFormat="1" applyFont="1" applyBorder="1" applyAlignment="1">
      <alignment horizontal="center" vertical="center" textRotation="90" wrapText="1"/>
    </xf>
    <xf numFmtId="49" fontId="6" fillId="0" borderId="24" xfId="0" applyNumberFormat="1" applyFont="1" applyBorder="1" applyAlignment="1">
      <alignment horizontal="center" vertical="center" textRotation="90" wrapText="1"/>
    </xf>
    <xf numFmtId="49" fontId="6" fillId="0" borderId="34" xfId="0" applyNumberFormat="1" applyFont="1" applyBorder="1" applyAlignment="1">
      <alignment horizontal="center" vertical="center" textRotation="90" wrapText="1"/>
    </xf>
    <xf numFmtId="49" fontId="6" fillId="0" borderId="21" xfId="0" applyNumberFormat="1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 wrapText="1"/>
    </xf>
    <xf numFmtId="0" fontId="9" fillId="0" borderId="27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49" fontId="7" fillId="0" borderId="27" xfId="0" applyNumberFormat="1" applyFont="1" applyBorder="1" applyAlignment="1">
      <alignment horizontal="center" vertical="center" textRotation="90" wrapText="1"/>
    </xf>
    <xf numFmtId="49" fontId="7" fillId="0" borderId="16" xfId="0" applyNumberFormat="1" applyFont="1" applyBorder="1" applyAlignment="1">
      <alignment horizontal="center" vertical="center" textRotation="90" wrapText="1"/>
    </xf>
    <xf numFmtId="49" fontId="12" fillId="0" borderId="27" xfId="0" applyNumberFormat="1" applyFont="1" applyBorder="1" applyAlignment="1">
      <alignment horizontal="center" vertical="center" textRotation="90" wrapText="1"/>
    </xf>
    <xf numFmtId="49" fontId="12" fillId="0" borderId="16" xfId="0" applyNumberFormat="1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textRotation="90" wrapText="1"/>
    </xf>
    <xf numFmtId="0" fontId="6" fillId="0" borderId="27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49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/>
    </xf>
    <xf numFmtId="0" fontId="11" fillId="0" borderId="27" xfId="0" applyFont="1" applyBorder="1" applyAlignment="1">
      <alignment horizontal="center" vertical="center" textRotation="90"/>
    </xf>
    <xf numFmtId="0" fontId="11" fillId="0" borderId="16" xfId="0" applyFont="1" applyBorder="1" applyAlignment="1">
      <alignment horizontal="center" vertical="center" textRotation="90"/>
    </xf>
    <xf numFmtId="49" fontId="9" fillId="0" borderId="11" xfId="0" applyNumberFormat="1" applyFont="1" applyBorder="1" applyAlignment="1">
      <alignment horizontal="center" vertical="center" textRotation="90" wrapText="1"/>
    </xf>
    <xf numFmtId="49" fontId="9" fillId="0" borderId="25" xfId="0" applyNumberFormat="1" applyFont="1" applyBorder="1" applyAlignment="1">
      <alignment horizontal="center" vertical="center" textRotation="90" wrapText="1"/>
    </xf>
    <xf numFmtId="49" fontId="5" fillId="0" borderId="21" xfId="0" applyNumberFormat="1" applyFont="1" applyBorder="1" applyAlignment="1">
      <alignment horizontal="center" vertical="center" textRotation="90" wrapText="1"/>
    </xf>
    <xf numFmtId="49" fontId="5" fillId="0" borderId="11" xfId="0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 wrapText="1"/>
    </xf>
    <xf numFmtId="0" fontId="8" fillId="0" borderId="38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90"/>
    </xf>
    <xf numFmtId="0" fontId="11" fillId="0" borderId="10" xfId="0" applyFont="1" applyBorder="1" applyAlignment="1">
      <alignment horizontal="center" vertical="center" textRotation="90"/>
    </xf>
    <xf numFmtId="43" fontId="0" fillId="0" borderId="0" xfId="28" applyFont="1"/>
    <xf numFmtId="164" fontId="0" fillId="0" borderId="0" xfId="28" applyNumberFormat="1" applyFont="1"/>
    <xf numFmtId="164" fontId="18" fillId="0" borderId="0" xfId="28" applyNumberFormat="1" applyFont="1" applyAlignment="1">
      <alignment horizontal="center" vertical="center" wrapText="1"/>
    </xf>
    <xf numFmtId="164" fontId="18" fillId="0" borderId="0" xfId="28" applyNumberFormat="1" applyFont="1" applyAlignment="1">
      <alignment vertical="center"/>
    </xf>
    <xf numFmtId="164" fontId="13" fillId="0" borderId="0" xfId="28" applyNumberFormat="1" applyFont="1" applyAlignment="1">
      <alignment vertical="center"/>
    </xf>
    <xf numFmtId="164" fontId="0" fillId="0" borderId="0" xfId="28" applyNumberFormat="1" applyFont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FF505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K52"/>
  <sheetViews>
    <sheetView zoomScaleNormal="100" workbookViewId="0">
      <selection activeCell="A2" sqref="A2"/>
    </sheetView>
  </sheetViews>
  <sheetFormatPr defaultRowHeight="12.75" x14ac:dyDescent="0.2"/>
  <cols>
    <col min="1" max="1" width="37.42578125" style="2" customWidth="1"/>
    <col min="2" max="2" width="14.5703125" style="2" hidden="1" customWidth="1"/>
    <col min="3" max="3" width="13.28515625" style="2" hidden="1" customWidth="1"/>
    <col min="4" max="4" width="12.5703125" style="2" customWidth="1"/>
    <col min="5" max="7" width="14.5703125" style="2" customWidth="1"/>
    <col min="8" max="9" width="9.140625" style="2"/>
    <col min="10" max="11" width="10.28515625" style="2" bestFit="1" customWidth="1"/>
    <col min="12" max="16384" width="9.140625" style="2"/>
  </cols>
  <sheetData>
    <row r="1" spans="1:11" ht="18" x14ac:dyDescent="0.2">
      <c r="A1" s="432" t="s">
        <v>446</v>
      </c>
      <c r="B1" s="432"/>
      <c r="C1" s="432"/>
      <c r="D1" s="432"/>
      <c r="E1" s="432"/>
      <c r="F1" s="432"/>
      <c r="G1" s="432"/>
      <c r="H1" s="432"/>
      <c r="I1" s="432"/>
    </row>
    <row r="2" spans="1:11" ht="18" x14ac:dyDescent="0.2">
      <c r="A2" s="263"/>
      <c r="B2" s="263"/>
      <c r="C2" s="263"/>
      <c r="D2" s="263"/>
      <c r="E2" s="263"/>
      <c r="F2" s="263"/>
      <c r="G2" s="263"/>
      <c r="H2" s="263"/>
      <c r="I2" s="263"/>
    </row>
    <row r="3" spans="1:11" ht="18" x14ac:dyDescent="0.2">
      <c r="A3" s="263"/>
      <c r="B3" s="263"/>
      <c r="C3" s="263"/>
      <c r="D3" s="263"/>
      <c r="E3" s="263"/>
      <c r="F3" s="263"/>
      <c r="G3" s="263"/>
      <c r="H3" s="263"/>
      <c r="I3" s="263"/>
    </row>
    <row r="4" spans="1:11" s="17" customFormat="1" ht="25.5" x14ac:dyDescent="0.2">
      <c r="A4" s="272"/>
      <c r="B4" s="50" t="s">
        <v>126</v>
      </c>
      <c r="C4" s="50" t="s">
        <v>211</v>
      </c>
      <c r="D4" s="50" t="s">
        <v>413</v>
      </c>
      <c r="E4" s="50" t="s">
        <v>390</v>
      </c>
      <c r="F4" s="50" t="s">
        <v>282</v>
      </c>
      <c r="G4" s="50" t="s">
        <v>391</v>
      </c>
    </row>
    <row r="5" spans="1:11" ht="9.75" customHeight="1" x14ac:dyDescent="0.2">
      <c r="A5" s="173" t="s">
        <v>15</v>
      </c>
      <c r="B5" s="99" t="e">
        <f>Rev!#REF!</f>
        <v>#REF!</v>
      </c>
      <c r="C5" s="107" t="e">
        <f>Rev!D34</f>
        <v>#REF!</v>
      </c>
      <c r="D5" s="42">
        <f>Rev!E34</f>
        <v>2736482.46</v>
      </c>
      <c r="E5" s="42">
        <f>Rev!F34</f>
        <v>2289500</v>
      </c>
      <c r="F5" s="42"/>
      <c r="G5" s="42">
        <v>1614500</v>
      </c>
      <c r="H5" s="73"/>
    </row>
    <row r="6" spans="1:11" ht="17.100000000000001" customHeight="1" x14ac:dyDescent="0.2">
      <c r="A6" s="173" t="s">
        <v>127</v>
      </c>
      <c r="B6" s="99" t="e">
        <f>Rev!#REF!</f>
        <v>#REF!</v>
      </c>
      <c r="C6" s="107">
        <f>'REV Detail'!D50</f>
        <v>0</v>
      </c>
      <c r="D6" s="42">
        <v>3000000</v>
      </c>
      <c r="E6" s="42">
        <v>0</v>
      </c>
      <c r="F6" s="42">
        <f>SUM(E6-D6)</f>
        <v>-3000000</v>
      </c>
      <c r="G6" s="42">
        <v>0</v>
      </c>
      <c r="H6" s="73"/>
    </row>
    <row r="7" spans="1:11" ht="17.100000000000001" customHeight="1" x14ac:dyDescent="0.2">
      <c r="A7" s="174" t="s">
        <v>28</v>
      </c>
      <c r="B7" s="99" t="e">
        <f>EXP!C15</f>
        <v>#REF!</v>
      </c>
      <c r="C7" s="162" t="e">
        <f>EXP!D15</f>
        <v>#REF!</v>
      </c>
      <c r="D7" s="219">
        <f>-EXP!E15</f>
        <v>-3050706.86</v>
      </c>
      <c r="E7" s="219"/>
      <c r="F7" s="42"/>
      <c r="G7" s="219">
        <f>-EXP!H15</f>
        <v>-4219721</v>
      </c>
      <c r="H7" s="243"/>
      <c r="K7" s="16"/>
    </row>
    <row r="8" spans="1:11" ht="17.100000000000001" customHeight="1" x14ac:dyDescent="0.2">
      <c r="A8" s="175" t="s">
        <v>130</v>
      </c>
      <c r="B8" s="100" t="e">
        <f>B5+B6-B7</f>
        <v>#REF!</v>
      </c>
      <c r="C8" s="44" t="e">
        <f>C5+C6-C7</f>
        <v>#REF!</v>
      </c>
      <c r="D8" s="218">
        <f>SUM(D5:D7)</f>
        <v>2685775.6</v>
      </c>
      <c r="E8" s="218">
        <f>SUM(E5:E7)</f>
        <v>2289500</v>
      </c>
      <c r="F8" s="44">
        <f>SUM(F5:F7)</f>
        <v>-3000000</v>
      </c>
      <c r="G8" s="218">
        <f>SUM(G5:G7)</f>
        <v>-2605221</v>
      </c>
      <c r="H8" s="73"/>
    </row>
    <row r="9" spans="1:11" ht="12.75" customHeight="1" x14ac:dyDescent="0.2">
      <c r="A9" s="176"/>
      <c r="B9" s="136"/>
      <c r="C9" s="137"/>
      <c r="D9" s="137"/>
      <c r="E9" s="137"/>
      <c r="F9" s="137"/>
      <c r="G9" s="137"/>
      <c r="H9" s="73"/>
      <c r="K9" s="16"/>
    </row>
    <row r="10" spans="1:11" ht="15" customHeight="1" x14ac:dyDescent="0.2">
      <c r="A10" s="176"/>
      <c r="B10" s="136"/>
      <c r="C10" s="137"/>
      <c r="D10" s="137"/>
      <c r="E10" s="137"/>
      <c r="F10" s="137"/>
      <c r="G10" s="137"/>
      <c r="H10" s="73"/>
    </row>
    <row r="11" spans="1:11" ht="17.100000000000001" customHeight="1" x14ac:dyDescent="0.2">
      <c r="A11" s="173" t="s">
        <v>80</v>
      </c>
      <c r="B11" s="99" t="e">
        <f>Rev!#REF!</f>
        <v>#REF!</v>
      </c>
      <c r="C11" s="107">
        <f>'REV Detail'!D59</f>
        <v>192024</v>
      </c>
      <c r="D11" s="42">
        <f>Rev!E4</f>
        <v>1777258.46</v>
      </c>
      <c r="E11" s="42">
        <v>3818915</v>
      </c>
      <c r="F11" s="42">
        <f>D11-G11</f>
        <v>-2263655.54</v>
      </c>
      <c r="G11" s="42">
        <f>4040914</f>
        <v>4040914</v>
      </c>
      <c r="H11" s="73"/>
    </row>
    <row r="12" spans="1:11" ht="17.100000000000001" customHeight="1" x14ac:dyDescent="0.2">
      <c r="A12" s="174" t="s">
        <v>81</v>
      </c>
      <c r="B12" s="99" t="e">
        <f>EXP!C30</f>
        <v>#REF!</v>
      </c>
      <c r="C12" s="162">
        <f>EXP!D30</f>
        <v>310692</v>
      </c>
      <c r="D12" s="43">
        <f>EXP!E30</f>
        <v>1150370.99</v>
      </c>
      <c r="E12" s="43"/>
      <c r="F12" s="42"/>
      <c r="G12" s="43">
        <f>4040914+G8</f>
        <v>1435693</v>
      </c>
      <c r="H12" s="73"/>
    </row>
    <row r="13" spans="1:11" ht="17.100000000000001" customHeight="1" x14ac:dyDescent="0.2">
      <c r="A13" s="177" t="s">
        <v>130</v>
      </c>
      <c r="B13" s="100" t="e">
        <f t="shared" ref="B13:G13" si="0">B11-B12</f>
        <v>#REF!</v>
      </c>
      <c r="C13" s="44">
        <f t="shared" si="0"/>
        <v>-118668</v>
      </c>
      <c r="D13" s="44">
        <f t="shared" si="0"/>
        <v>626887.47</v>
      </c>
      <c r="E13" s="44">
        <f t="shared" si="0"/>
        <v>3818915</v>
      </c>
      <c r="F13" s="44">
        <f t="shared" si="0"/>
        <v>-2263655.54</v>
      </c>
      <c r="G13" s="44">
        <f t="shared" si="0"/>
        <v>2605221</v>
      </c>
      <c r="H13" s="73"/>
    </row>
    <row r="14" spans="1:11" x14ac:dyDescent="0.2">
      <c r="A14" s="176"/>
      <c r="B14" s="136"/>
      <c r="C14" s="137"/>
      <c r="D14" s="137"/>
      <c r="E14" s="137"/>
      <c r="F14" s="137"/>
      <c r="G14" s="137"/>
      <c r="H14" s="73"/>
    </row>
    <row r="15" spans="1:11" x14ac:dyDescent="0.2">
      <c r="A15" s="176"/>
      <c r="B15" s="136"/>
      <c r="C15" s="137"/>
      <c r="D15" s="137"/>
      <c r="E15" s="137"/>
      <c r="F15" s="137"/>
      <c r="G15" s="137"/>
      <c r="H15" s="73"/>
    </row>
    <row r="16" spans="1:11" s="18" customFormat="1" ht="20.100000000000001" customHeight="1" x14ac:dyDescent="0.2">
      <c r="A16" s="178" t="s">
        <v>54</v>
      </c>
      <c r="B16" s="103" t="e">
        <f>B7</f>
        <v>#REF!</v>
      </c>
      <c r="C16" s="163" t="e">
        <f>C7</f>
        <v>#REF!</v>
      </c>
      <c r="D16" s="66">
        <f>EXP!E15</f>
        <v>3050706.86</v>
      </c>
      <c r="E16" s="66">
        <f>EXP!F15</f>
        <v>3208725</v>
      </c>
      <c r="F16" s="42">
        <f>D16-E16</f>
        <v>-158018.14000000013</v>
      </c>
      <c r="G16" s="66">
        <f>EXP!H15</f>
        <v>4219721</v>
      </c>
      <c r="H16" s="172"/>
      <c r="I16" s="2"/>
      <c r="J16" s="427"/>
    </row>
    <row r="17" spans="1:11" ht="20.100000000000001" customHeight="1" thickBot="1" x14ac:dyDescent="0.25">
      <c r="A17" s="179" t="s">
        <v>82</v>
      </c>
      <c r="B17" s="101" t="e">
        <f>B12</f>
        <v>#REF!</v>
      </c>
      <c r="C17" s="164">
        <f>C12</f>
        <v>310692</v>
      </c>
      <c r="D17" s="70">
        <f>EXP!E30</f>
        <v>1150370.99</v>
      </c>
      <c r="E17" s="70">
        <f>EXP!F30</f>
        <v>0</v>
      </c>
      <c r="F17" s="104">
        <f>D17-E17</f>
        <v>1150370.99</v>
      </c>
      <c r="G17" s="426">
        <f>963839+7000+464854</f>
        <v>1435693</v>
      </c>
      <c r="H17" s="73"/>
      <c r="I17" s="16"/>
      <c r="J17" s="425"/>
    </row>
    <row r="18" spans="1:11" ht="20.100000000000001" customHeight="1" thickBot="1" x14ac:dyDescent="0.25">
      <c r="A18" s="179" t="s">
        <v>22</v>
      </c>
      <c r="B18" s="101" t="e">
        <f>SUM(B16:B17)</f>
        <v>#REF!</v>
      </c>
      <c r="C18" s="165" t="e">
        <f>SUM(C16:C17)</f>
        <v>#REF!</v>
      </c>
      <c r="D18" s="70">
        <f>SUM(D16:D17)</f>
        <v>4201077.8499999996</v>
      </c>
      <c r="E18" s="70">
        <f>SUM(E16:E17)</f>
        <v>3208725</v>
      </c>
      <c r="F18" s="70">
        <f t="shared" ref="F18:G18" si="1">SUM(F16:F17)</f>
        <v>992352.84999999986</v>
      </c>
      <c r="G18" s="70">
        <f t="shared" si="1"/>
        <v>5655414</v>
      </c>
      <c r="H18" s="73"/>
      <c r="I18" s="16"/>
      <c r="J18" s="425"/>
    </row>
    <row r="19" spans="1:11" x14ac:dyDescent="0.2">
      <c r="A19" s="180"/>
      <c r="B19" s="134"/>
      <c r="C19" s="134"/>
      <c r="D19" s="134"/>
      <c r="E19" s="134"/>
      <c r="F19" s="134"/>
      <c r="G19" s="134"/>
      <c r="H19" s="73"/>
      <c r="J19" s="425"/>
    </row>
    <row r="20" spans="1:11" ht="13.5" thickBot="1" x14ac:dyDescent="0.25">
      <c r="A20" s="131"/>
      <c r="B20" s="134"/>
      <c r="C20" s="135">
        <f>D20-F20</f>
        <v>0</v>
      </c>
      <c r="D20" s="132"/>
      <c r="E20" s="132"/>
      <c r="F20" s="134"/>
      <c r="G20" s="132"/>
      <c r="H20" s="73"/>
    </row>
    <row r="21" spans="1:11" ht="25.5" x14ac:dyDescent="0.2">
      <c r="A21" s="181" t="s">
        <v>42</v>
      </c>
      <c r="B21" s="98" t="s">
        <v>126</v>
      </c>
      <c r="C21" s="50" t="s">
        <v>211</v>
      </c>
      <c r="D21" s="50" t="s">
        <v>410</v>
      </c>
      <c r="E21" s="50" t="s">
        <v>390</v>
      </c>
      <c r="F21" s="50" t="s">
        <v>282</v>
      </c>
      <c r="G21" s="50" t="s">
        <v>391</v>
      </c>
      <c r="H21" s="73"/>
    </row>
    <row r="22" spans="1:11" ht="17.100000000000001" customHeight="1" x14ac:dyDescent="0.2">
      <c r="A22" s="173" t="s">
        <v>29</v>
      </c>
      <c r="B22" s="99" t="e">
        <f>Gaming!C4</f>
        <v>#REF!</v>
      </c>
      <c r="C22" s="107">
        <f>Gaming!D4</f>
        <v>1557710</v>
      </c>
      <c r="D22" s="39">
        <f>Gaming!E4</f>
        <v>1557710</v>
      </c>
      <c r="E22" s="39">
        <v>1253000</v>
      </c>
      <c r="F22" s="42">
        <f>D22-G22</f>
        <v>304710</v>
      </c>
      <c r="G22" s="39">
        <f>Gaming!H4</f>
        <v>1253000</v>
      </c>
      <c r="H22" s="73"/>
      <c r="K22" s="425"/>
    </row>
    <row r="23" spans="1:11" ht="17.100000000000001" customHeight="1" x14ac:dyDescent="0.2">
      <c r="A23" s="174" t="s">
        <v>30</v>
      </c>
      <c r="B23" s="99" t="e">
        <f>Gaming!C21</f>
        <v>#REF!</v>
      </c>
      <c r="C23" s="162">
        <f>Gaming!D21</f>
        <v>1512954.15</v>
      </c>
      <c r="D23" s="40">
        <f>GamDetail!D43</f>
        <v>1599069.15</v>
      </c>
      <c r="E23" s="40">
        <f>Gaming!F21</f>
        <v>1246000</v>
      </c>
      <c r="F23" s="42">
        <f>D23-G23</f>
        <v>353069.14999999991</v>
      </c>
      <c r="G23" s="40">
        <f>Gaming!H21</f>
        <v>1246000</v>
      </c>
      <c r="J23" s="425"/>
    </row>
    <row r="24" spans="1:11" ht="17.100000000000001" customHeight="1" thickBot="1" x14ac:dyDescent="0.25">
      <c r="A24" s="182" t="s">
        <v>130</v>
      </c>
      <c r="B24" s="72" t="e">
        <f t="shared" ref="B24:G24" si="2">B22-B23</f>
        <v>#REF!</v>
      </c>
      <c r="C24" s="71">
        <f t="shared" si="2"/>
        <v>44755.850000000093</v>
      </c>
      <c r="D24" s="71">
        <f t="shared" si="2"/>
        <v>-41359.149999999907</v>
      </c>
      <c r="E24" s="71">
        <f t="shared" si="2"/>
        <v>7000</v>
      </c>
      <c r="F24" s="108">
        <f t="shared" si="2"/>
        <v>-48359.149999999907</v>
      </c>
      <c r="G24" s="71">
        <f t="shared" si="2"/>
        <v>7000</v>
      </c>
    </row>
    <row r="25" spans="1:11" x14ac:dyDescent="0.2">
      <c r="A25" s="33"/>
      <c r="B25" s="52"/>
      <c r="C25" s="41"/>
      <c r="D25" s="52"/>
      <c r="E25" s="52"/>
      <c r="F25" s="33"/>
    </row>
    <row r="26" spans="1:11" x14ac:dyDescent="0.2">
      <c r="B26" s="33"/>
      <c r="D26" s="33"/>
      <c r="E26" s="52"/>
      <c r="F26" s="33"/>
    </row>
    <row r="27" spans="1:11" x14ac:dyDescent="0.2">
      <c r="B27" s="33"/>
      <c r="D27" s="33"/>
      <c r="E27" s="52"/>
      <c r="F27" s="33"/>
    </row>
    <row r="28" spans="1:11" x14ac:dyDescent="0.2">
      <c r="B28" s="87"/>
      <c r="D28" s="87"/>
      <c r="E28" s="52"/>
      <c r="F28" s="33"/>
    </row>
    <row r="29" spans="1:11" x14ac:dyDescent="0.2">
      <c r="B29" s="33"/>
      <c r="D29" s="33"/>
      <c r="E29" s="33"/>
      <c r="F29" s="33"/>
    </row>
    <row r="30" spans="1:11" x14ac:dyDescent="0.2">
      <c r="B30" s="33"/>
      <c r="D30" s="33"/>
      <c r="E30" s="33"/>
      <c r="F30" s="33"/>
    </row>
    <row r="31" spans="1:11" x14ac:dyDescent="0.2">
      <c r="B31" s="33"/>
      <c r="D31" s="33"/>
      <c r="E31" s="33"/>
      <c r="F31" s="33"/>
    </row>
    <row r="32" spans="1:11" x14ac:dyDescent="0.2">
      <c r="B32" s="33"/>
      <c r="D32" s="33"/>
      <c r="E32" s="33"/>
      <c r="F32" s="33"/>
    </row>
    <row r="33" spans="2:6" x14ac:dyDescent="0.2">
      <c r="B33" s="33"/>
      <c r="D33" s="33"/>
      <c r="E33" s="33"/>
      <c r="F33" s="33"/>
    </row>
    <row r="34" spans="2:6" x14ac:dyDescent="0.2">
      <c r="B34" s="33"/>
      <c r="D34" s="33"/>
      <c r="E34" s="33"/>
      <c r="F34" s="33"/>
    </row>
    <row r="35" spans="2:6" x14ac:dyDescent="0.2">
      <c r="B35" s="33"/>
      <c r="D35" s="33"/>
      <c r="E35" s="33"/>
      <c r="F35" s="33"/>
    </row>
    <row r="36" spans="2:6" x14ac:dyDescent="0.2">
      <c r="B36" s="33"/>
      <c r="D36" s="33"/>
      <c r="E36" s="33"/>
      <c r="F36" s="33"/>
    </row>
    <row r="37" spans="2:6" x14ac:dyDescent="0.2">
      <c r="B37" s="33"/>
      <c r="D37" s="33"/>
      <c r="E37" s="33"/>
      <c r="F37" s="33"/>
    </row>
    <row r="38" spans="2:6" x14ac:dyDescent="0.2">
      <c r="B38" s="33"/>
      <c r="D38" s="33"/>
      <c r="E38" s="33"/>
      <c r="F38" s="33"/>
    </row>
    <row r="39" spans="2:6" x14ac:dyDescent="0.2">
      <c r="B39" s="33"/>
      <c r="D39" s="33"/>
      <c r="E39" s="33"/>
      <c r="F39" s="33"/>
    </row>
    <row r="40" spans="2:6" x14ac:dyDescent="0.2">
      <c r="B40" s="33"/>
      <c r="D40" s="33"/>
      <c r="E40" s="33"/>
      <c r="F40" s="33"/>
    </row>
    <row r="41" spans="2:6" x14ac:dyDescent="0.2">
      <c r="B41" s="33"/>
      <c r="D41" s="33"/>
      <c r="E41" s="33"/>
      <c r="F41" s="33"/>
    </row>
    <row r="42" spans="2:6" x14ac:dyDescent="0.2">
      <c r="B42" s="33"/>
      <c r="D42" s="33"/>
      <c r="E42" s="33"/>
      <c r="F42" s="33"/>
    </row>
    <row r="43" spans="2:6" x14ac:dyDescent="0.2">
      <c r="B43" s="33"/>
      <c r="D43" s="33"/>
      <c r="E43" s="33"/>
      <c r="F43" s="33"/>
    </row>
    <row r="44" spans="2:6" x14ac:dyDescent="0.2">
      <c r="B44" s="33"/>
      <c r="D44" s="33"/>
      <c r="E44" s="33"/>
      <c r="F44" s="33"/>
    </row>
    <row r="45" spans="2:6" x14ac:dyDescent="0.2">
      <c r="B45" s="33"/>
      <c r="D45" s="33"/>
      <c r="E45" s="33"/>
      <c r="F45" s="33"/>
    </row>
    <row r="46" spans="2:6" x14ac:dyDescent="0.2">
      <c r="B46" s="33"/>
      <c r="D46" s="33"/>
      <c r="E46" s="33"/>
      <c r="F46" s="33"/>
    </row>
    <row r="47" spans="2:6" x14ac:dyDescent="0.2">
      <c r="B47" s="33"/>
      <c r="D47" s="33"/>
      <c r="E47" s="33"/>
      <c r="F47" s="33"/>
    </row>
    <row r="48" spans="2:6" x14ac:dyDescent="0.2">
      <c r="B48" s="33"/>
      <c r="D48" s="33"/>
      <c r="E48" s="33"/>
      <c r="F48" s="33"/>
    </row>
    <row r="49" spans="2:6" x14ac:dyDescent="0.2">
      <c r="B49" s="33"/>
      <c r="D49" s="33"/>
      <c r="E49" s="33"/>
      <c r="F49" s="33"/>
    </row>
    <row r="50" spans="2:6" x14ac:dyDescent="0.2">
      <c r="B50" s="33"/>
      <c r="D50" s="33"/>
      <c r="E50" s="33"/>
      <c r="F50" s="33"/>
    </row>
    <row r="51" spans="2:6" x14ac:dyDescent="0.2">
      <c r="B51" s="33"/>
      <c r="D51" s="33"/>
      <c r="E51" s="33"/>
      <c r="F51" s="33"/>
    </row>
    <row r="52" spans="2:6" x14ac:dyDescent="0.2">
      <c r="B52" s="33"/>
      <c r="D52" s="33"/>
      <c r="E52" s="33"/>
      <c r="F52" s="33"/>
    </row>
  </sheetData>
  <mergeCells count="1">
    <mergeCell ref="A1:I1"/>
  </mergeCells>
  <phoneticPr fontId="2" type="noConversion"/>
  <printOptions horizontalCentered="1"/>
  <pageMargins left="0" right="0" top="0" bottom="0" header="0.5" footer="0"/>
  <pageSetup fitToHeight="0" orientation="portrait" verticalDpi="300" r:id="rId1"/>
  <headerFooter alignWithMargins="0">
    <oddHeader xml:space="preserve">&amp;RPrint Date: &amp;D   </oddHeader>
    <oddFooter>Page &amp;P&amp;RFY25  December 2024 Report to Council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5"/>
  <sheetViews>
    <sheetView workbookViewId="0">
      <selection activeCell="T10" sqref="T10"/>
    </sheetView>
  </sheetViews>
  <sheetFormatPr defaultRowHeight="18" x14ac:dyDescent="0.25"/>
  <cols>
    <col min="1" max="1" width="9.140625" style="74"/>
    <col min="2" max="2" width="2.5703125" style="75" customWidth="1"/>
    <col min="3" max="16384" width="9.140625" style="75"/>
  </cols>
  <sheetData>
    <row r="1" spans="1:3" x14ac:dyDescent="0.25">
      <c r="C1" s="75" t="s">
        <v>93</v>
      </c>
    </row>
    <row r="3" spans="1:3" x14ac:dyDescent="0.25">
      <c r="A3" s="74" t="s">
        <v>88</v>
      </c>
      <c r="B3" s="75" t="s">
        <v>322</v>
      </c>
    </row>
    <row r="4" spans="1:3" x14ac:dyDescent="0.25">
      <c r="B4" s="75" t="s">
        <v>323</v>
      </c>
    </row>
    <row r="6" spans="1:3" x14ac:dyDescent="0.25">
      <c r="A6" s="74" t="s">
        <v>89</v>
      </c>
      <c r="B6" s="75" t="s">
        <v>90</v>
      </c>
    </row>
    <row r="8" spans="1:3" x14ac:dyDescent="0.25">
      <c r="A8" s="74" t="s">
        <v>91</v>
      </c>
      <c r="B8" s="75" t="s">
        <v>324</v>
      </c>
    </row>
    <row r="9" spans="1:3" x14ac:dyDescent="0.25">
      <c r="B9" s="75" t="s">
        <v>325</v>
      </c>
    </row>
    <row r="11" spans="1:3" x14ac:dyDescent="0.25">
      <c r="B11" s="75" t="s">
        <v>329</v>
      </c>
    </row>
    <row r="12" spans="1:3" x14ac:dyDescent="0.25">
      <c r="B12" s="75" t="s">
        <v>328</v>
      </c>
    </row>
    <row r="14" spans="1:3" x14ac:dyDescent="0.25">
      <c r="A14" s="74" t="s">
        <v>92</v>
      </c>
      <c r="B14" s="75" t="s">
        <v>128</v>
      </c>
    </row>
    <row r="16" spans="1:3" x14ac:dyDescent="0.25">
      <c r="A16" s="74" t="s">
        <v>94</v>
      </c>
      <c r="B16" s="75" t="s">
        <v>95</v>
      </c>
    </row>
    <row r="19" spans="1:3" x14ac:dyDescent="0.25">
      <c r="C19" s="75" t="s">
        <v>106</v>
      </c>
    </row>
    <row r="21" spans="1:3" x14ac:dyDescent="0.25">
      <c r="A21" s="74" t="s">
        <v>88</v>
      </c>
      <c r="B21" s="75" t="s">
        <v>107</v>
      </c>
    </row>
    <row r="22" spans="1:3" x14ac:dyDescent="0.25">
      <c r="B22" s="75" t="s">
        <v>108</v>
      </c>
    </row>
    <row r="24" spans="1:3" x14ac:dyDescent="0.25">
      <c r="A24" s="74" t="s">
        <v>89</v>
      </c>
      <c r="B24" s="75" t="s">
        <v>326</v>
      </c>
    </row>
    <row r="25" spans="1:3" x14ac:dyDescent="0.25">
      <c r="B25" s="75" t="s">
        <v>327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O90"/>
  <sheetViews>
    <sheetView zoomScaleNormal="100" zoomScalePageLayoutView="60" workbookViewId="0">
      <selection activeCell="A2" sqref="A2"/>
    </sheetView>
  </sheetViews>
  <sheetFormatPr defaultRowHeight="12.75" x14ac:dyDescent="0.2"/>
  <cols>
    <col min="1" max="1" width="8" style="2" customWidth="1"/>
    <col min="2" max="2" width="12.7109375" style="2" hidden="1" customWidth="1"/>
    <col min="3" max="3" width="36.28515625" style="12" customWidth="1"/>
    <col min="4" max="4" width="0.42578125" style="2" customWidth="1"/>
    <col min="5" max="5" width="13" style="2" customWidth="1"/>
    <col min="6" max="6" width="14.28515625" style="2" customWidth="1"/>
    <col min="7" max="7" width="12.140625" style="2" customWidth="1"/>
    <col min="8" max="8" width="14.5703125" style="2" customWidth="1"/>
    <col min="9" max="9" width="9.140625" style="2"/>
    <col min="10" max="11" width="11.28515625" style="2" bestFit="1" customWidth="1"/>
    <col min="12" max="12" width="12.140625" style="2" bestFit="1" customWidth="1"/>
    <col min="13" max="13" width="36.7109375" style="2" bestFit="1" customWidth="1"/>
    <col min="14" max="14" width="12.85546875" style="233" bestFit="1" customWidth="1"/>
    <col min="15" max="15" width="11.28515625" style="233" bestFit="1" customWidth="1"/>
    <col min="16" max="16384" width="9.140625" style="2"/>
  </cols>
  <sheetData>
    <row r="1" spans="1:15" s="9" customFormat="1" ht="15.75" customHeight="1" x14ac:dyDescent="0.2">
      <c r="A1" s="433" t="s">
        <v>447</v>
      </c>
      <c r="B1" s="433"/>
      <c r="C1" s="433"/>
      <c r="D1" s="433"/>
      <c r="E1" s="433"/>
      <c r="F1" s="433"/>
      <c r="G1" s="433"/>
      <c r="H1" s="433"/>
      <c r="I1" s="433"/>
      <c r="N1" s="419"/>
      <c r="O1" s="419"/>
    </row>
    <row r="2" spans="1:15" s="9" customFormat="1" ht="21" customHeight="1" thickBot="1" x14ac:dyDescent="0.25">
      <c r="A2" s="301"/>
      <c r="B2" s="301"/>
      <c r="C2" s="301"/>
      <c r="D2" s="301"/>
      <c r="E2" s="301"/>
      <c r="F2" s="301"/>
      <c r="G2" s="301"/>
      <c r="H2" s="301"/>
      <c r="I2" s="301"/>
      <c r="N2" s="419"/>
      <c r="O2" s="419"/>
    </row>
    <row r="3" spans="1:15" s="310" customFormat="1" ht="39" thickBot="1" x14ac:dyDescent="0.25">
      <c r="A3" s="302"/>
      <c r="B3" s="314"/>
      <c r="C3" s="314" t="s">
        <v>369</v>
      </c>
      <c r="D3" s="314"/>
      <c r="E3" s="50" t="s">
        <v>413</v>
      </c>
      <c r="F3" s="50" t="s">
        <v>390</v>
      </c>
      <c r="G3" s="50" t="s">
        <v>282</v>
      </c>
      <c r="H3" s="50" t="s">
        <v>391</v>
      </c>
      <c r="J3" s="233"/>
    </row>
    <row r="4" spans="1:15" ht="12.75" customHeight="1" x14ac:dyDescent="0.2">
      <c r="A4" s="441" t="s">
        <v>370</v>
      </c>
      <c r="B4" s="311"/>
      <c r="C4" s="312" t="s">
        <v>121</v>
      </c>
      <c r="D4" s="313">
        <f>'REV Detail'!D4</f>
        <v>500000</v>
      </c>
      <c r="E4" s="403">
        <f>'REV Detail'!E4</f>
        <v>1777258.46</v>
      </c>
      <c r="F4" s="337">
        <v>675000</v>
      </c>
      <c r="G4" s="337">
        <f>E4-F4</f>
        <v>1102258.46</v>
      </c>
      <c r="H4" s="337">
        <v>4040914</v>
      </c>
      <c r="I4" s="73"/>
      <c r="J4" s="233"/>
      <c r="N4" s="2"/>
      <c r="O4" s="2"/>
    </row>
    <row r="5" spans="1:15" x14ac:dyDescent="0.2">
      <c r="A5" s="442"/>
      <c r="B5" s="112"/>
      <c r="C5" s="300" t="s">
        <v>47</v>
      </c>
      <c r="D5" s="295">
        <f>'REV Detail'!D13+'REV Detail'!D14</f>
        <v>107579</v>
      </c>
      <c r="E5" s="290">
        <f>'REV Detail'!E13</f>
        <v>13985</v>
      </c>
      <c r="F5" s="338">
        <v>35000</v>
      </c>
      <c r="G5" s="337">
        <f t="shared" ref="G5:G33" si="0">E5-F5</f>
        <v>-21015</v>
      </c>
      <c r="H5" s="338">
        <f>'REV Detail'!H13</f>
        <v>35000</v>
      </c>
      <c r="I5" s="73"/>
      <c r="J5" s="233"/>
      <c r="N5" s="2"/>
      <c r="O5" s="2"/>
    </row>
    <row r="6" spans="1:15" x14ac:dyDescent="0.2">
      <c r="A6" s="442"/>
      <c r="B6" s="116"/>
      <c r="C6" s="282" t="s">
        <v>122</v>
      </c>
      <c r="D6" s="283">
        <f>'REV Detail'!D6</f>
        <v>100692</v>
      </c>
      <c r="E6" s="288">
        <f>'REV Detail'!E6</f>
        <v>312269</v>
      </c>
      <c r="F6" s="338">
        <v>500000</v>
      </c>
      <c r="G6" s="337">
        <f t="shared" si="0"/>
        <v>-187731</v>
      </c>
      <c r="H6" s="337">
        <v>500000</v>
      </c>
      <c r="J6" s="233"/>
      <c r="N6" s="2"/>
      <c r="O6" s="2"/>
    </row>
    <row r="7" spans="1:15" x14ac:dyDescent="0.2">
      <c r="A7" s="442"/>
      <c r="B7" s="116"/>
      <c r="C7" s="123" t="s">
        <v>361</v>
      </c>
      <c r="D7" s="283">
        <f>'REV Detail'!D7</f>
        <v>0</v>
      </c>
      <c r="E7" s="288">
        <f>'REV Detail'!E10</f>
        <v>371497</v>
      </c>
      <c r="F7" s="338">
        <v>0</v>
      </c>
      <c r="G7" s="337">
        <f t="shared" si="0"/>
        <v>371497</v>
      </c>
      <c r="H7" s="338">
        <v>0</v>
      </c>
      <c r="J7" s="233"/>
      <c r="N7" s="2"/>
      <c r="O7" s="2"/>
    </row>
    <row r="8" spans="1:15" x14ac:dyDescent="0.2">
      <c r="A8" s="442"/>
      <c r="B8" s="116"/>
      <c r="C8" s="122" t="s">
        <v>113</v>
      </c>
      <c r="D8" s="283">
        <f>'REV Detail'!D8</f>
        <v>68593</v>
      </c>
      <c r="E8" s="288">
        <f>'REV Detail'!E8</f>
        <v>165539</v>
      </c>
      <c r="F8" s="338">
        <v>100000</v>
      </c>
      <c r="G8" s="337">
        <f t="shared" si="0"/>
        <v>65539</v>
      </c>
      <c r="H8" s="338">
        <f>'REV Detail'!H8</f>
        <v>100000</v>
      </c>
      <c r="J8" s="233"/>
      <c r="N8" s="2"/>
      <c r="O8" s="2"/>
    </row>
    <row r="9" spans="1:15" x14ac:dyDescent="0.2">
      <c r="A9" s="442"/>
      <c r="B9" s="116"/>
      <c r="C9" s="122" t="s">
        <v>300</v>
      </c>
      <c r="D9" s="283"/>
      <c r="E9" s="288">
        <f>'REV Detail'!E31</f>
        <v>21550</v>
      </c>
      <c r="F9" s="338">
        <v>20000</v>
      </c>
      <c r="G9" s="337">
        <f t="shared" si="0"/>
        <v>1550</v>
      </c>
      <c r="H9" s="338">
        <v>20000</v>
      </c>
      <c r="J9" s="233"/>
      <c r="N9" s="2"/>
      <c r="O9" s="2"/>
    </row>
    <row r="10" spans="1:15" x14ac:dyDescent="0.2">
      <c r="A10" s="442"/>
      <c r="B10" s="110"/>
      <c r="C10" s="123" t="s">
        <v>123</v>
      </c>
      <c r="D10" s="283">
        <f>'REV Detail'!D9</f>
        <v>168785</v>
      </c>
      <c r="E10" s="288">
        <f>'REV Detail'!E9</f>
        <v>1305</v>
      </c>
      <c r="F10" s="338">
        <v>100000</v>
      </c>
      <c r="G10" s="337">
        <f t="shared" si="0"/>
        <v>-98695</v>
      </c>
      <c r="H10" s="338">
        <v>100000</v>
      </c>
      <c r="J10" s="233"/>
      <c r="N10" s="2"/>
      <c r="O10" s="2"/>
    </row>
    <row r="11" spans="1:15" x14ac:dyDescent="0.2">
      <c r="A11" s="442"/>
      <c r="B11" s="110"/>
      <c r="C11" s="123" t="s">
        <v>101</v>
      </c>
      <c r="D11" s="284">
        <f>'REV Detail'!D26+GamDetail!D8</f>
        <v>16231</v>
      </c>
      <c r="E11" s="288">
        <f>'REV Detail'!E26</f>
        <v>3599</v>
      </c>
      <c r="F11" s="338">
        <v>10000</v>
      </c>
      <c r="G11" s="337">
        <f t="shared" si="0"/>
        <v>-6401</v>
      </c>
      <c r="H11" s="338">
        <v>10000</v>
      </c>
      <c r="J11" s="233"/>
      <c r="N11" s="2"/>
      <c r="O11" s="2"/>
    </row>
    <row r="12" spans="1:15" x14ac:dyDescent="0.2">
      <c r="A12" s="442"/>
      <c r="B12" s="110"/>
      <c r="C12" s="123" t="s">
        <v>102</v>
      </c>
      <c r="D12" s="284">
        <f>'REV Detail'!D30</f>
        <v>36212</v>
      </c>
      <c r="E12" s="288">
        <f>'REV Detail'!E30</f>
        <v>51603</v>
      </c>
      <c r="F12" s="338">
        <v>50000</v>
      </c>
      <c r="G12" s="337">
        <f t="shared" si="0"/>
        <v>1603</v>
      </c>
      <c r="H12" s="338">
        <f>'REV Detail'!H30</f>
        <v>50000</v>
      </c>
      <c r="J12" s="233"/>
      <c r="N12" s="2"/>
      <c r="O12" s="2"/>
    </row>
    <row r="13" spans="1:15" x14ac:dyDescent="0.2">
      <c r="A13" s="442"/>
      <c r="B13" s="110"/>
      <c r="C13" s="123" t="s">
        <v>281</v>
      </c>
      <c r="D13" s="284">
        <f>'REV Detail'!D32+'REV Detail'!D27</f>
        <v>33900</v>
      </c>
      <c r="E13" s="288">
        <f>'REV Detail'!E32</f>
        <v>29800</v>
      </c>
      <c r="F13" s="338">
        <v>40000</v>
      </c>
      <c r="G13" s="337">
        <f t="shared" si="0"/>
        <v>-10200</v>
      </c>
      <c r="H13" s="338">
        <v>40000</v>
      </c>
      <c r="J13" s="233"/>
      <c r="N13" s="2"/>
      <c r="O13" s="2"/>
    </row>
    <row r="14" spans="1:15" x14ac:dyDescent="0.2">
      <c r="A14" s="442"/>
      <c r="B14" s="110"/>
      <c r="C14" s="123" t="s">
        <v>114</v>
      </c>
      <c r="D14" s="284" t="e">
        <f>SUM('REV Detail'!D12:D14)+'REV Detail'!#REF!+'REV Detail'!#REF!+'REV Detail'!#REF!</f>
        <v>#REF!</v>
      </c>
      <c r="E14" s="288">
        <f>'REV Detail'!E12</f>
        <v>151102</v>
      </c>
      <c r="F14" s="338">
        <v>150000</v>
      </c>
      <c r="G14" s="337">
        <f t="shared" si="0"/>
        <v>1102</v>
      </c>
      <c r="H14" s="338">
        <v>150000</v>
      </c>
      <c r="J14" s="233"/>
      <c r="N14" s="2"/>
      <c r="O14" s="2"/>
    </row>
    <row r="15" spans="1:15" x14ac:dyDescent="0.2">
      <c r="A15" s="442"/>
      <c r="B15" s="110"/>
      <c r="C15" s="123" t="s">
        <v>124</v>
      </c>
      <c r="D15" s="284">
        <f>'REV Detail'!D16</f>
        <v>0</v>
      </c>
      <c r="E15" s="262">
        <f>'REV Detail'!E16</f>
        <v>23283</v>
      </c>
      <c r="F15" s="338">
        <v>0</v>
      </c>
      <c r="G15" s="337">
        <f t="shared" si="0"/>
        <v>23283</v>
      </c>
      <c r="H15" s="338">
        <v>0</v>
      </c>
      <c r="J15" s="233"/>
      <c r="N15" s="2"/>
      <c r="O15" s="2"/>
    </row>
    <row r="16" spans="1:15" x14ac:dyDescent="0.2">
      <c r="A16" s="442"/>
      <c r="B16" s="110"/>
      <c r="C16" s="123" t="s">
        <v>125</v>
      </c>
      <c r="D16" s="284">
        <f>'REV Detail'!D17</f>
        <v>1983</v>
      </c>
      <c r="E16" s="288">
        <f>'REV Detail'!E17</f>
        <v>0</v>
      </c>
      <c r="F16" s="338">
        <v>0</v>
      </c>
      <c r="G16" s="337">
        <f t="shared" si="0"/>
        <v>0</v>
      </c>
      <c r="H16" s="338">
        <v>0</v>
      </c>
      <c r="J16" s="233"/>
      <c r="N16" s="2"/>
      <c r="O16" s="2"/>
    </row>
    <row r="17" spans="1:15" x14ac:dyDescent="0.2">
      <c r="A17" s="442"/>
      <c r="B17" s="110"/>
      <c r="C17" s="123" t="s">
        <v>56</v>
      </c>
      <c r="D17" s="284" t="e">
        <f>SUM('REV Detail'!D19:D21)+'REV Detail'!#REF!+'REV Detail'!#REF!</f>
        <v>#REF!</v>
      </c>
      <c r="E17" s="288">
        <f>'REV Detail'!E19</f>
        <v>17600</v>
      </c>
      <c r="F17" s="338">
        <v>173000</v>
      </c>
      <c r="G17" s="337">
        <f t="shared" si="0"/>
        <v>-155400</v>
      </c>
      <c r="H17" s="338">
        <v>173000</v>
      </c>
      <c r="J17" s="233"/>
      <c r="N17" s="2"/>
      <c r="O17" s="2"/>
    </row>
    <row r="18" spans="1:15" x14ac:dyDescent="0.2">
      <c r="A18" s="442"/>
      <c r="B18" s="110"/>
      <c r="C18" s="123" t="s">
        <v>185</v>
      </c>
      <c r="D18" s="284"/>
      <c r="E18" s="288">
        <f>'REV Detail'!E21</f>
        <v>3250</v>
      </c>
      <c r="F18" s="338">
        <v>0</v>
      </c>
      <c r="G18" s="337">
        <f t="shared" si="0"/>
        <v>3250</v>
      </c>
      <c r="H18" s="338">
        <f>125000-35000</f>
        <v>90000</v>
      </c>
      <c r="J18" s="233"/>
      <c r="N18" s="2"/>
      <c r="O18" s="2"/>
    </row>
    <row r="19" spans="1:15" x14ac:dyDescent="0.2">
      <c r="A19" s="442"/>
      <c r="B19" s="110"/>
      <c r="C19" s="123" t="s">
        <v>367</v>
      </c>
      <c r="D19" s="284" t="e">
        <f>SUM('REV Detail'!D23:D24)+'REV Detail'!#REF!+'REV Detail'!D31+'REV Detail'!D18+'REV Detail'!#REF!</f>
        <v>#REF!</v>
      </c>
      <c r="E19" s="288">
        <f>'REV Detail'!E18</f>
        <v>26850</v>
      </c>
      <c r="F19" s="338">
        <v>120500</v>
      </c>
      <c r="G19" s="337">
        <f t="shared" si="0"/>
        <v>-93650</v>
      </c>
      <c r="H19" s="338">
        <v>120500</v>
      </c>
      <c r="J19" s="233"/>
      <c r="N19" s="2"/>
      <c r="O19" s="2"/>
    </row>
    <row r="20" spans="1:15" x14ac:dyDescent="0.2">
      <c r="A20" s="442"/>
      <c r="B20" s="110"/>
      <c r="C20" s="123" t="s">
        <v>368</v>
      </c>
      <c r="D20" s="284"/>
      <c r="E20" s="288">
        <f>'REV Detail'!E14</f>
        <v>37100</v>
      </c>
      <c r="F20" s="338">
        <v>0</v>
      </c>
      <c r="G20" s="337">
        <f t="shared" si="0"/>
        <v>37100</v>
      </c>
      <c r="H20" s="338">
        <v>65000</v>
      </c>
      <c r="J20" s="233"/>
      <c r="N20" s="2"/>
      <c r="O20" s="2"/>
    </row>
    <row r="21" spans="1:15" x14ac:dyDescent="0.2">
      <c r="A21" s="442"/>
      <c r="B21" s="110"/>
      <c r="C21" s="123" t="s">
        <v>299</v>
      </c>
      <c r="D21" s="284"/>
      <c r="E21" s="288">
        <f>'REV Detail'!E28</f>
        <v>2463</v>
      </c>
      <c r="F21" s="338">
        <v>1500</v>
      </c>
      <c r="G21" s="337">
        <f t="shared" si="0"/>
        <v>963</v>
      </c>
      <c r="H21" s="338">
        <v>1500</v>
      </c>
      <c r="J21" s="233"/>
      <c r="N21" s="2"/>
      <c r="O21" s="2"/>
    </row>
    <row r="22" spans="1:15" x14ac:dyDescent="0.2">
      <c r="A22" s="442"/>
      <c r="B22" s="110"/>
      <c r="C22" s="123" t="s">
        <v>191</v>
      </c>
      <c r="D22" s="284">
        <f>'REV Detail'!D29</f>
        <v>60968</v>
      </c>
      <c r="E22" s="288">
        <f>'REV Detail'!E29</f>
        <v>0</v>
      </c>
      <c r="F22" s="338">
        <v>100000</v>
      </c>
      <c r="G22" s="337">
        <f>Gaming!H4</f>
        <v>1253000</v>
      </c>
      <c r="H22" s="338">
        <f>'REV Detail'!H29</f>
        <v>90000</v>
      </c>
      <c r="J22" s="233"/>
      <c r="N22" s="2"/>
      <c r="O22" s="2"/>
    </row>
    <row r="23" spans="1:15" x14ac:dyDescent="0.2">
      <c r="A23" s="442"/>
      <c r="B23" s="110"/>
      <c r="C23" s="123" t="s">
        <v>192</v>
      </c>
      <c r="D23" s="284">
        <f>'REV Detail'!D33</f>
        <v>3502</v>
      </c>
      <c r="E23" s="262">
        <f>'REV Detail'!E33</f>
        <v>0</v>
      </c>
      <c r="F23" s="338">
        <v>0</v>
      </c>
      <c r="G23" s="337">
        <f t="shared" si="0"/>
        <v>0</v>
      </c>
      <c r="H23" s="338">
        <v>0</v>
      </c>
      <c r="J23" s="233"/>
      <c r="N23" s="2"/>
      <c r="O23" s="2"/>
    </row>
    <row r="24" spans="1:15" x14ac:dyDescent="0.2">
      <c r="A24" s="442"/>
      <c r="B24" s="110"/>
      <c r="C24" s="122" t="s">
        <v>351</v>
      </c>
      <c r="D24" s="284">
        <f>'REV Detail'!D15</f>
        <v>695</v>
      </c>
      <c r="E24" s="288">
        <f>'REV Detail'!E38</f>
        <v>7137</v>
      </c>
      <c r="F24" s="338">
        <v>0</v>
      </c>
      <c r="G24" s="337">
        <f t="shared" si="0"/>
        <v>7137</v>
      </c>
      <c r="H24" s="338"/>
      <c r="J24" s="233"/>
      <c r="N24" s="2"/>
      <c r="O24" s="2"/>
    </row>
    <row r="25" spans="1:15" x14ac:dyDescent="0.2">
      <c r="A25" s="442"/>
      <c r="B25" s="110"/>
      <c r="C25" s="122" t="s">
        <v>190</v>
      </c>
      <c r="D25" s="284">
        <f>'REV Detail'!D34</f>
        <v>4356</v>
      </c>
      <c r="E25" s="288">
        <f>'REV Detail'!E34</f>
        <v>0</v>
      </c>
      <c r="F25" s="338">
        <v>79500</v>
      </c>
      <c r="G25" s="337">
        <f t="shared" si="0"/>
        <v>-79500</v>
      </c>
      <c r="H25" s="338">
        <v>79500</v>
      </c>
      <c r="J25" s="233"/>
      <c r="N25" s="2"/>
      <c r="O25" s="2"/>
    </row>
    <row r="26" spans="1:15" x14ac:dyDescent="0.2">
      <c r="A26" s="442"/>
      <c r="B26" s="110"/>
      <c r="C26" s="123" t="s">
        <v>321</v>
      </c>
      <c r="D26" s="284">
        <f>'REV Detail'!D35</f>
        <v>320657</v>
      </c>
      <c r="E26" s="402">
        <v>600</v>
      </c>
      <c r="F26" s="338">
        <v>75000</v>
      </c>
      <c r="G26" s="337">
        <f t="shared" si="0"/>
        <v>-74400</v>
      </c>
      <c r="H26" s="339">
        <v>75000</v>
      </c>
      <c r="J26" s="233"/>
      <c r="N26" s="2"/>
      <c r="O26" s="2"/>
    </row>
    <row r="27" spans="1:15" x14ac:dyDescent="0.2">
      <c r="A27" s="442"/>
      <c r="B27" s="110"/>
      <c r="C27" s="123" t="s">
        <v>39</v>
      </c>
      <c r="D27" s="284">
        <v>0</v>
      </c>
      <c r="E27" s="262">
        <v>0</v>
      </c>
      <c r="F27" s="338">
        <v>0</v>
      </c>
      <c r="G27" s="337">
        <f t="shared" si="0"/>
        <v>0</v>
      </c>
      <c r="H27" s="338">
        <v>0</v>
      </c>
      <c r="J27" s="233"/>
      <c r="N27" s="2"/>
      <c r="O27" s="2"/>
    </row>
    <row r="28" spans="1:15" x14ac:dyDescent="0.2">
      <c r="A28" s="442"/>
      <c r="B28" s="110"/>
      <c r="C28" s="123" t="s">
        <v>73</v>
      </c>
      <c r="D28" s="284">
        <f>'REV Detail'!D37+'REV Detail'!D39</f>
        <v>32950</v>
      </c>
      <c r="E28" s="288">
        <v>-293846</v>
      </c>
      <c r="F28" s="338">
        <v>25000</v>
      </c>
      <c r="G28" s="337">
        <f t="shared" si="0"/>
        <v>-318846</v>
      </c>
      <c r="H28" s="338">
        <v>25000</v>
      </c>
      <c r="J28" s="233"/>
      <c r="N28" s="2"/>
      <c r="O28" s="2"/>
    </row>
    <row r="29" spans="1:15" x14ac:dyDescent="0.2">
      <c r="A29" s="442"/>
      <c r="B29" s="110"/>
      <c r="C29" s="123" t="s">
        <v>74</v>
      </c>
      <c r="D29" s="284">
        <f>Depts!D96</f>
        <v>0</v>
      </c>
      <c r="E29" s="288">
        <v>1753</v>
      </c>
      <c r="F29" s="338">
        <v>35000</v>
      </c>
      <c r="G29" s="337">
        <f t="shared" si="0"/>
        <v>-33247</v>
      </c>
      <c r="H29" s="338">
        <v>65000</v>
      </c>
      <c r="J29" s="233"/>
      <c r="N29" s="2"/>
      <c r="O29" s="2"/>
    </row>
    <row r="30" spans="1:15" x14ac:dyDescent="0.2">
      <c r="A30" s="442"/>
      <c r="B30" s="112"/>
      <c r="C30" s="122" t="s">
        <v>189</v>
      </c>
      <c r="D30" s="283"/>
      <c r="E30" s="288">
        <v>3435</v>
      </c>
      <c r="F30" s="338"/>
      <c r="G30" s="337"/>
      <c r="H30" s="338"/>
      <c r="J30" s="233"/>
      <c r="N30" s="2"/>
      <c r="O30" s="2"/>
    </row>
    <row r="31" spans="1:15" x14ac:dyDescent="0.2">
      <c r="A31" s="442"/>
      <c r="B31" s="112"/>
      <c r="C31" s="122" t="s">
        <v>362</v>
      </c>
      <c r="D31" s="283"/>
      <c r="E31" s="288">
        <v>700</v>
      </c>
      <c r="F31" s="338">
        <v>0</v>
      </c>
      <c r="G31" s="337">
        <f t="shared" si="0"/>
        <v>700</v>
      </c>
      <c r="H31" s="338">
        <v>0</v>
      </c>
      <c r="J31" s="233"/>
      <c r="N31" s="2"/>
      <c r="O31" s="2"/>
    </row>
    <row r="32" spans="1:15" x14ac:dyDescent="0.2">
      <c r="A32" s="442"/>
      <c r="B32" s="112"/>
      <c r="C32" s="122" t="s">
        <v>412</v>
      </c>
      <c r="D32" s="283">
        <f>Depts!D97</f>
        <v>12129</v>
      </c>
      <c r="E32" s="262">
        <f>'REV Detail'!E36</f>
        <v>6650</v>
      </c>
      <c r="F32" s="338">
        <v>0</v>
      </c>
      <c r="G32" s="337">
        <f t="shared" si="0"/>
        <v>6650</v>
      </c>
      <c r="H32" s="338">
        <v>0</v>
      </c>
      <c r="J32" s="233"/>
      <c r="N32" s="2"/>
      <c r="O32" s="2"/>
    </row>
    <row r="33" spans="1:15" x14ac:dyDescent="0.2">
      <c r="A33" s="442"/>
      <c r="B33" s="285"/>
      <c r="C33" s="282" t="s">
        <v>76</v>
      </c>
      <c r="D33" s="286">
        <f>Depts!D99</f>
        <v>17886</v>
      </c>
      <c r="E33" s="262"/>
      <c r="F33" s="338">
        <v>0</v>
      </c>
      <c r="G33" s="337">
        <f t="shared" si="0"/>
        <v>0</v>
      </c>
      <c r="H33" s="338">
        <f>Depts!H99</f>
        <v>0</v>
      </c>
      <c r="J33" s="233"/>
      <c r="N33" s="2"/>
      <c r="O33" s="2"/>
    </row>
    <row r="34" spans="1:15" ht="25.5" customHeight="1" thickBot="1" x14ac:dyDescent="0.25">
      <c r="A34" s="442"/>
      <c r="B34" s="434" t="s">
        <v>20</v>
      </c>
      <c r="C34" s="435"/>
      <c r="D34" s="299" t="e">
        <f>SUM(D4:D33)</f>
        <v>#REF!</v>
      </c>
      <c r="E34" s="205">
        <f>SUM(E4:E33)</f>
        <v>2736482.46</v>
      </c>
      <c r="F34" s="340">
        <f>SUM(F4:F33)</f>
        <v>2289500</v>
      </c>
      <c r="G34" s="341"/>
      <c r="H34" s="340">
        <f>SUM(H4:H33)</f>
        <v>5830414</v>
      </c>
      <c r="J34" s="233"/>
      <c r="N34" s="2"/>
      <c r="O34" s="2"/>
    </row>
    <row r="35" spans="1:15" ht="8.25" customHeight="1" thickTop="1" x14ac:dyDescent="0.2">
      <c r="A35" s="19"/>
      <c r="B35" s="141"/>
      <c r="C35" s="142"/>
      <c r="D35" s="297"/>
      <c r="E35" s="37"/>
      <c r="F35" s="37"/>
      <c r="G35" s="298"/>
      <c r="H35" s="37"/>
      <c r="J35" s="233"/>
      <c r="N35" s="2"/>
      <c r="O35" s="2"/>
    </row>
    <row r="36" spans="1:15" ht="12.75" customHeight="1" x14ac:dyDescent="0.2">
      <c r="A36" s="443" t="s">
        <v>87</v>
      </c>
      <c r="B36" s="150" t="s">
        <v>51</v>
      </c>
      <c r="C36" s="83"/>
      <c r="D36" s="146">
        <f>'REV Detail'!D45</f>
        <v>0</v>
      </c>
      <c r="E36" s="147"/>
      <c r="F36" s="147"/>
      <c r="G36" s="264"/>
      <c r="H36" s="147"/>
      <c r="J36" s="233"/>
      <c r="N36" s="2"/>
      <c r="O36" s="2"/>
    </row>
    <row r="37" spans="1:15" x14ac:dyDescent="0.2">
      <c r="A37" s="444"/>
      <c r="B37" s="258"/>
      <c r="C37" s="259"/>
      <c r="D37" s="273"/>
      <c r="E37" s="84"/>
      <c r="F37" s="244"/>
      <c r="G37" s="244"/>
      <c r="H37" s="84"/>
      <c r="J37" s="233"/>
      <c r="N37" s="2"/>
      <c r="O37" s="2"/>
    </row>
    <row r="38" spans="1:15" ht="13.5" thickBot="1" x14ac:dyDescent="0.25">
      <c r="A38" s="445"/>
      <c r="B38" s="436" t="s">
        <v>111</v>
      </c>
      <c r="C38" s="437"/>
      <c r="D38" s="57">
        <f>SUM(D36:D36)</f>
        <v>0</v>
      </c>
      <c r="E38" s="144">
        <f>SUM(E37:E37)</f>
        <v>0</v>
      </c>
      <c r="F38" s="260">
        <f>SUM(F37:F37)</f>
        <v>0</v>
      </c>
      <c r="G38" s="260">
        <f>SUM(G37:G37)</f>
        <v>0</v>
      </c>
      <c r="H38" s="144">
        <f>SUM(H37:H37)</f>
        <v>0</v>
      </c>
      <c r="J38" s="109"/>
      <c r="N38" s="2"/>
      <c r="O38" s="2"/>
    </row>
    <row r="39" spans="1:15" ht="13.5" thickTop="1" x14ac:dyDescent="0.2">
      <c r="A39" s="151"/>
      <c r="B39" s="149"/>
      <c r="C39" s="148"/>
      <c r="D39" s="297"/>
      <c r="E39" s="293"/>
      <c r="F39" s="37"/>
      <c r="G39" s="37"/>
      <c r="H39" s="37"/>
      <c r="J39" s="233"/>
      <c r="N39" s="2"/>
      <c r="O39" s="2"/>
    </row>
    <row r="40" spans="1:15" ht="12.75" customHeight="1" x14ac:dyDescent="0.2">
      <c r="A40" s="439" t="s">
        <v>83</v>
      </c>
      <c r="B40" s="68" t="s">
        <v>262</v>
      </c>
      <c r="C40" s="416"/>
      <c r="D40" s="241"/>
      <c r="E40" s="294"/>
      <c r="F40" s="295"/>
      <c r="G40" s="294"/>
      <c r="H40" s="295"/>
      <c r="J40" s="233"/>
      <c r="N40" s="2"/>
      <c r="O40" s="2"/>
    </row>
    <row r="41" spans="1:15" ht="12.75" customHeight="1" x14ac:dyDescent="0.2">
      <c r="A41" s="439"/>
      <c r="B41" s="68" t="s">
        <v>263</v>
      </c>
      <c r="C41" s="416"/>
      <c r="D41" s="241"/>
      <c r="E41" s="294"/>
      <c r="F41" s="295"/>
      <c r="G41" s="294"/>
      <c r="H41" s="295"/>
      <c r="J41" s="233"/>
      <c r="N41" s="2"/>
      <c r="O41" s="2"/>
    </row>
    <row r="42" spans="1:15" ht="12.75" customHeight="1" x14ac:dyDescent="0.2">
      <c r="A42" s="439"/>
      <c r="B42" s="68" t="s">
        <v>266</v>
      </c>
      <c r="C42" s="416" t="s">
        <v>408</v>
      </c>
      <c r="D42" s="261"/>
      <c r="E42" s="294">
        <v>50000</v>
      </c>
      <c r="F42" s="295">
        <v>0</v>
      </c>
      <c r="G42" s="294">
        <f>E42-F42</f>
        <v>50000</v>
      </c>
      <c r="H42" s="295">
        <v>0</v>
      </c>
      <c r="J42" s="233"/>
      <c r="N42" s="2"/>
      <c r="O42" s="2"/>
    </row>
    <row r="43" spans="1:15" ht="12.75" customHeight="1" x14ac:dyDescent="0.2">
      <c r="A43" s="439"/>
      <c r="B43" s="68" t="s">
        <v>253</v>
      </c>
      <c r="C43" s="416"/>
      <c r="D43" s="296"/>
      <c r="E43" s="294"/>
      <c r="F43" s="295"/>
      <c r="G43" s="294"/>
      <c r="H43" s="295"/>
    </row>
    <row r="44" spans="1:15" ht="12.75" customHeight="1" x14ac:dyDescent="0.2">
      <c r="A44" s="439"/>
      <c r="B44" s="68"/>
      <c r="C44" s="416"/>
      <c r="D44" s="261"/>
      <c r="E44" s="294"/>
      <c r="F44" s="295"/>
      <c r="G44" s="294"/>
      <c r="H44" s="295"/>
    </row>
    <row r="45" spans="1:15" ht="12.75" customHeight="1" x14ac:dyDescent="0.2">
      <c r="A45" s="439"/>
      <c r="B45" s="68"/>
      <c r="C45" s="416"/>
      <c r="D45" s="261"/>
      <c r="E45" s="294"/>
      <c r="F45" s="295"/>
      <c r="G45" s="294"/>
      <c r="H45" s="295"/>
    </row>
    <row r="46" spans="1:15" ht="12.75" customHeight="1" x14ac:dyDescent="0.2">
      <c r="A46" s="439"/>
      <c r="B46" s="68"/>
      <c r="C46" s="416"/>
      <c r="D46" s="261"/>
      <c r="E46" s="294"/>
      <c r="F46" s="295"/>
      <c r="G46" s="294"/>
      <c r="H46" s="295"/>
    </row>
    <row r="47" spans="1:15" ht="12.75" customHeight="1" x14ac:dyDescent="0.2">
      <c r="A47" s="439"/>
      <c r="B47" s="68"/>
      <c r="C47" s="416"/>
      <c r="D47" s="261"/>
      <c r="E47" s="294"/>
      <c r="F47" s="295"/>
      <c r="G47" s="294"/>
      <c r="H47" s="295"/>
    </row>
    <row r="48" spans="1:15" ht="12.75" customHeight="1" x14ac:dyDescent="0.2">
      <c r="A48" s="439"/>
      <c r="B48" s="68"/>
      <c r="C48" s="416"/>
      <c r="D48" s="261"/>
      <c r="E48" s="294"/>
      <c r="F48" s="295"/>
      <c r="G48" s="294"/>
      <c r="H48" s="295"/>
    </row>
    <row r="49" spans="1:15" ht="12.75" customHeight="1" x14ac:dyDescent="0.2">
      <c r="A49" s="439"/>
      <c r="B49" s="68"/>
      <c r="C49" s="416"/>
      <c r="D49" s="261"/>
      <c r="E49" s="294"/>
      <c r="F49" s="295"/>
      <c r="G49" s="294"/>
      <c r="H49" s="295"/>
    </row>
    <row r="50" spans="1:15" ht="12.75" customHeight="1" x14ac:dyDescent="0.2">
      <c r="A50" s="439"/>
      <c r="B50" s="68"/>
      <c r="C50" s="416"/>
      <c r="D50" s="261"/>
      <c r="E50" s="294"/>
      <c r="F50" s="295"/>
      <c r="G50" s="294"/>
      <c r="H50" s="295"/>
    </row>
    <row r="51" spans="1:15" ht="12.75" customHeight="1" x14ac:dyDescent="0.2">
      <c r="A51" s="439"/>
      <c r="B51" s="68"/>
      <c r="C51" s="416"/>
      <c r="D51" s="261"/>
      <c r="E51" s="294"/>
      <c r="F51" s="295"/>
      <c r="G51" s="294"/>
      <c r="H51" s="295"/>
    </row>
    <row r="52" spans="1:15" ht="13.5" thickBot="1" x14ac:dyDescent="0.25">
      <c r="A52" s="439"/>
      <c r="B52" s="69"/>
      <c r="C52" s="417"/>
      <c r="D52" s="140"/>
      <c r="E52" s="294"/>
      <c r="F52" s="294"/>
      <c r="G52" s="294"/>
      <c r="H52" s="295"/>
    </row>
    <row r="53" spans="1:15" ht="24.75" customHeight="1" thickBot="1" x14ac:dyDescent="0.25">
      <c r="A53" s="440"/>
      <c r="B53" s="434" t="s">
        <v>79</v>
      </c>
      <c r="C53" s="438"/>
      <c r="D53" s="160">
        <f>SUM(D40:D52)</f>
        <v>0</v>
      </c>
      <c r="E53" s="306">
        <f>SUM(E40:E52)</f>
        <v>50000</v>
      </c>
      <c r="F53" s="307">
        <f>SUM(F40:F52)</f>
        <v>0</v>
      </c>
      <c r="G53" s="307">
        <f>SUM(G40:G52)</f>
        <v>50000</v>
      </c>
      <c r="H53" s="308">
        <f>SUM(H40:H52)</f>
        <v>0</v>
      </c>
      <c r="N53" s="109"/>
      <c r="O53" s="109"/>
    </row>
    <row r="54" spans="1:15" ht="3.75" customHeight="1" thickTop="1" x14ac:dyDescent="0.2">
      <c r="C54" s="86"/>
      <c r="D54" s="33"/>
      <c r="E54" s="33"/>
      <c r="F54" s="33"/>
    </row>
    <row r="55" spans="1:15" x14ac:dyDescent="0.2">
      <c r="C55" s="86"/>
      <c r="D55" s="33"/>
      <c r="E55" s="33"/>
      <c r="F55" s="33"/>
    </row>
    <row r="56" spans="1:15" x14ac:dyDescent="0.2">
      <c r="C56" s="86"/>
      <c r="D56" s="33"/>
      <c r="E56" s="33"/>
      <c r="F56" s="33"/>
    </row>
    <row r="57" spans="1:15" x14ac:dyDescent="0.2">
      <c r="C57" s="86"/>
      <c r="D57" s="25"/>
      <c r="E57" s="25"/>
      <c r="F57" s="78"/>
    </row>
    <row r="58" spans="1:15" x14ac:dyDescent="0.2">
      <c r="C58" s="86"/>
      <c r="D58" s="25"/>
      <c r="E58" s="25"/>
      <c r="F58" s="78"/>
    </row>
    <row r="59" spans="1:15" x14ac:dyDescent="0.2">
      <c r="C59" s="33"/>
      <c r="D59" s="25"/>
      <c r="E59" s="25"/>
      <c r="F59" s="78"/>
    </row>
    <row r="60" spans="1:15" x14ac:dyDescent="0.2">
      <c r="C60" s="33"/>
      <c r="D60" s="25"/>
      <c r="E60" s="25"/>
      <c r="F60" s="78"/>
    </row>
    <row r="61" spans="1:15" x14ac:dyDescent="0.2">
      <c r="C61" s="33"/>
      <c r="D61" s="25"/>
      <c r="E61" s="25"/>
      <c r="F61" s="78"/>
    </row>
    <row r="62" spans="1:15" x14ac:dyDescent="0.2">
      <c r="C62" s="33"/>
      <c r="D62" s="25"/>
      <c r="E62" s="25"/>
      <c r="F62" s="78"/>
    </row>
    <row r="63" spans="1:15" x14ac:dyDescent="0.2">
      <c r="C63" s="33"/>
      <c r="D63" s="25"/>
      <c r="E63" s="25"/>
      <c r="F63" s="78"/>
    </row>
    <row r="64" spans="1:15" x14ac:dyDescent="0.2">
      <c r="C64" s="2"/>
    </row>
    <row r="65" spans="3:3" x14ac:dyDescent="0.2">
      <c r="C65" s="2"/>
    </row>
    <row r="90" spans="1:15" s="12" customFormat="1" x14ac:dyDescent="0.2">
      <c r="A90" s="2"/>
      <c r="B90" s="2" t="s">
        <v>41</v>
      </c>
      <c r="D90" s="2"/>
      <c r="E90" s="2"/>
      <c r="F90" s="2"/>
      <c r="G90" s="2"/>
      <c r="N90" s="420"/>
      <c r="O90" s="420"/>
    </row>
  </sheetData>
  <mergeCells count="7">
    <mergeCell ref="A1:I1"/>
    <mergeCell ref="B34:C34"/>
    <mergeCell ref="B38:C38"/>
    <mergeCell ref="B53:C53"/>
    <mergeCell ref="A40:A53"/>
    <mergeCell ref="A4:A34"/>
    <mergeCell ref="A36:A38"/>
  </mergeCells>
  <phoneticPr fontId="37" type="noConversion"/>
  <printOptions horizontalCentered="1"/>
  <pageMargins left="0" right="0" top="0" bottom="0" header="0.5" footer="0"/>
  <pageSetup fitToHeight="0" orientation="portrait" horizontalDpi="300" verticalDpi="300" r:id="rId1"/>
  <headerFooter alignWithMargins="0">
    <oddHeader xml:space="preserve">&amp;RPrint Date: &amp;D   </oddHeader>
    <oddFooter>Page &amp;P&amp;RFY25  December 2024 Report to Council</oddFooter>
  </headerFooter>
  <colBreaks count="1" manualBreakCount="1">
    <brk id="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I100"/>
  <sheetViews>
    <sheetView zoomScaleNormal="10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 x14ac:dyDescent="0.2"/>
  <cols>
    <col min="1" max="1" width="8" style="2" customWidth="1"/>
    <col min="2" max="2" width="35.85546875" style="2" customWidth="1"/>
    <col min="3" max="3" width="13.42578125" style="24" hidden="1" customWidth="1"/>
    <col min="4" max="4" width="13.5703125" style="2" hidden="1" customWidth="1"/>
    <col min="5" max="6" width="13.42578125" style="24" customWidth="1"/>
    <col min="7" max="7" width="13.28515625" style="2" customWidth="1"/>
    <col min="8" max="8" width="11.5703125" style="2" customWidth="1"/>
    <col min="9" max="16384" width="9.140625" style="2"/>
  </cols>
  <sheetData>
    <row r="1" spans="1:9" ht="18" x14ac:dyDescent="0.2">
      <c r="A1" s="432" t="s">
        <v>445</v>
      </c>
      <c r="B1" s="432"/>
      <c r="C1" s="432"/>
      <c r="D1" s="432"/>
      <c r="E1" s="432"/>
      <c r="F1" s="432"/>
      <c r="G1" s="432"/>
      <c r="H1" s="432"/>
      <c r="I1" s="432"/>
    </row>
    <row r="2" spans="1:9" ht="18" customHeight="1" x14ac:dyDescent="0.2">
      <c r="A2" s="263"/>
      <c r="B2" s="263"/>
      <c r="C2" s="263"/>
      <c r="D2" s="263"/>
      <c r="E2" s="263"/>
      <c r="F2" s="263"/>
      <c r="G2" s="263"/>
      <c r="H2" s="263"/>
      <c r="I2" s="263"/>
    </row>
    <row r="3" spans="1:9" ht="18.75" customHeight="1" thickBot="1" x14ac:dyDescent="0.25">
      <c r="A3" s="263"/>
      <c r="B3" s="263"/>
      <c r="C3" s="263"/>
      <c r="D3" s="263"/>
      <c r="E3" s="263"/>
      <c r="F3" s="263"/>
      <c r="G3" s="263"/>
      <c r="H3" s="263"/>
      <c r="I3" s="263"/>
    </row>
    <row r="4" spans="1:9" s="1" customFormat="1" ht="23.25" customHeight="1" thickBot="1" x14ac:dyDescent="0.25">
      <c r="A4" s="446" t="s">
        <v>118</v>
      </c>
      <c r="B4" s="302" t="s">
        <v>44</v>
      </c>
      <c r="C4" s="303"/>
      <c r="D4" s="304"/>
      <c r="E4" s="50" t="s">
        <v>413</v>
      </c>
      <c r="F4" s="50" t="s">
        <v>390</v>
      </c>
      <c r="G4" s="50" t="s">
        <v>282</v>
      </c>
      <c r="H4" s="50" t="s">
        <v>391</v>
      </c>
    </row>
    <row r="5" spans="1:9" s="1" customFormat="1" x14ac:dyDescent="0.2">
      <c r="A5" s="447"/>
      <c r="B5" s="23" t="s">
        <v>115</v>
      </c>
      <c r="C5" s="34" t="e">
        <f>Depts!C16</f>
        <v>#REF!</v>
      </c>
      <c r="D5" s="138">
        <f>Depts!D16</f>
        <v>88465</v>
      </c>
      <c r="E5" s="34">
        <f>Depts!E16</f>
        <v>51870.52</v>
      </c>
      <c r="F5" s="34">
        <v>74266</v>
      </c>
      <c r="G5" s="264">
        <v>0</v>
      </c>
      <c r="H5" s="34">
        <f>Depts!H16</f>
        <v>74266</v>
      </c>
    </row>
    <row r="6" spans="1:9" x14ac:dyDescent="0.2">
      <c r="A6" s="447"/>
      <c r="B6" s="11" t="s">
        <v>116</v>
      </c>
      <c r="C6" s="30" t="e">
        <f>'10, 20, 30, 35, 40 Detail'!#REF!</f>
        <v>#REF!</v>
      </c>
      <c r="D6" s="139" t="e">
        <f>Depts!D39</f>
        <v>#REF!</v>
      </c>
      <c r="E6" s="30">
        <f>Depts!E39</f>
        <v>1834109.8900000001</v>
      </c>
      <c r="F6" s="30">
        <v>1444004</v>
      </c>
      <c r="G6" s="84">
        <v>0</v>
      </c>
      <c r="H6" s="30">
        <v>2350000</v>
      </c>
    </row>
    <row r="7" spans="1:9" x14ac:dyDescent="0.2">
      <c r="A7" s="447"/>
      <c r="B7" s="10" t="s">
        <v>34</v>
      </c>
      <c r="C7" s="30" t="e">
        <f>Depts!C65</f>
        <v>#REF!</v>
      </c>
      <c r="D7" s="139" t="e">
        <f>Depts!D65</f>
        <v>#REF!</v>
      </c>
      <c r="E7" s="30">
        <f>Depts!E65</f>
        <v>441646.97000000003</v>
      </c>
      <c r="F7" s="30">
        <v>719006</v>
      </c>
      <c r="G7" s="84">
        <v>0</v>
      </c>
      <c r="H7" s="30">
        <f>Depts!H65</f>
        <v>719006</v>
      </c>
    </row>
    <row r="8" spans="1:9" x14ac:dyDescent="0.2">
      <c r="A8" s="447"/>
      <c r="B8" s="10" t="s">
        <v>117</v>
      </c>
      <c r="C8" s="30" t="e">
        <f>Depts!C50</f>
        <v>#REF!</v>
      </c>
      <c r="D8" s="139" t="e">
        <f>Depts!D50</f>
        <v>#REF!</v>
      </c>
      <c r="E8" s="30">
        <f>Depts!E50</f>
        <v>199465.84</v>
      </c>
      <c r="F8" s="30">
        <v>683128</v>
      </c>
      <c r="G8" s="84">
        <v>0</v>
      </c>
      <c r="H8" s="30">
        <v>683128</v>
      </c>
    </row>
    <row r="9" spans="1:9" x14ac:dyDescent="0.2">
      <c r="A9" s="447"/>
      <c r="B9" s="10" t="s">
        <v>36</v>
      </c>
      <c r="C9" s="30">
        <f>Depts!C76</f>
        <v>102240</v>
      </c>
      <c r="D9" s="139">
        <f>Depts!D76</f>
        <v>54014</v>
      </c>
      <c r="E9" s="30">
        <f>Depts!E76</f>
        <v>130105.8</v>
      </c>
      <c r="F9" s="30">
        <v>98000</v>
      </c>
      <c r="G9" s="84">
        <v>0</v>
      </c>
      <c r="H9" s="30">
        <v>200000</v>
      </c>
    </row>
    <row r="10" spans="1:9" x14ac:dyDescent="0.2">
      <c r="A10" s="447"/>
      <c r="B10" s="11" t="s">
        <v>373</v>
      </c>
      <c r="C10" s="30">
        <f>Depts!C83</f>
        <v>14877</v>
      </c>
      <c r="D10" s="139">
        <f>Depts!D83</f>
        <v>13576</v>
      </c>
      <c r="E10" s="30">
        <f>Depts!E83</f>
        <v>109771</v>
      </c>
      <c r="F10" s="30">
        <v>27000</v>
      </c>
      <c r="G10" s="84">
        <v>0</v>
      </c>
      <c r="H10" s="30">
        <v>30000</v>
      </c>
    </row>
    <row r="11" spans="1:9" x14ac:dyDescent="0.2">
      <c r="A11" s="447"/>
      <c r="B11" s="11" t="s">
        <v>37</v>
      </c>
      <c r="C11" s="30">
        <f>Depts!C93</f>
        <v>105149</v>
      </c>
      <c r="D11" s="139">
        <f>Depts!D93</f>
        <v>86736</v>
      </c>
      <c r="E11" s="30">
        <f>Depts!E93</f>
        <v>236248.63</v>
      </c>
      <c r="F11" s="30">
        <v>163321</v>
      </c>
      <c r="G11" s="84">
        <v>0</v>
      </c>
      <c r="H11" s="30">
        <f>Depts!H93</f>
        <v>163321</v>
      </c>
    </row>
    <row r="12" spans="1:9" x14ac:dyDescent="0.2">
      <c r="A12" s="447"/>
      <c r="B12" s="11" t="s">
        <v>38</v>
      </c>
      <c r="C12" s="30" t="e">
        <f>Depts!#REF!</f>
        <v>#REF!</v>
      </c>
      <c r="D12" s="139" t="e">
        <f>Depts!#REF!</f>
        <v>#REF!</v>
      </c>
      <c r="E12" s="30">
        <v>0</v>
      </c>
      <c r="F12" s="30">
        <v>0</v>
      </c>
      <c r="G12" s="84">
        <v>0</v>
      </c>
      <c r="H12" s="30">
        <v>0</v>
      </c>
    </row>
    <row r="13" spans="1:9" x14ac:dyDescent="0.2">
      <c r="A13" s="447"/>
      <c r="B13" s="10" t="s">
        <v>99</v>
      </c>
      <c r="C13" s="30" t="e">
        <f>Depts!#REF!</f>
        <v>#REF!</v>
      </c>
      <c r="D13" s="139" t="e">
        <f>Depts!#REF!</f>
        <v>#REF!</v>
      </c>
      <c r="E13" s="30">
        <v>29401</v>
      </c>
      <c r="F13" s="30">
        <v>0</v>
      </c>
      <c r="G13" s="84">
        <v>0</v>
      </c>
      <c r="H13" s="30">
        <v>0</v>
      </c>
    </row>
    <row r="14" spans="1:9" ht="13.5" thickBot="1" x14ac:dyDescent="0.25">
      <c r="A14" s="448"/>
      <c r="B14" s="428" t="s">
        <v>401</v>
      </c>
      <c r="C14" s="32">
        <f>Depts!C104</f>
        <v>18523</v>
      </c>
      <c r="D14" s="140">
        <f>Depts!D104</f>
        <v>15760</v>
      </c>
      <c r="E14" s="32">
        <f>16801.88+1285.33</f>
        <v>18087.21</v>
      </c>
      <c r="F14" s="32">
        <v>0</v>
      </c>
      <c r="G14" s="129">
        <v>0</v>
      </c>
      <c r="H14" s="32">
        <f>Depts!H99</f>
        <v>0</v>
      </c>
    </row>
    <row r="15" spans="1:9" customFormat="1" ht="18" customHeight="1" x14ac:dyDescent="0.2">
      <c r="A15" s="449"/>
      <c r="B15" s="51" t="s">
        <v>163</v>
      </c>
      <c r="C15" s="79" t="e">
        <f t="shared" ref="C15:H15" si="0">SUM(C5:C14)</f>
        <v>#REF!</v>
      </c>
      <c r="D15" s="161" t="e">
        <f t="shared" si="0"/>
        <v>#REF!</v>
      </c>
      <c r="E15" s="94">
        <f t="shared" si="0"/>
        <v>3050706.86</v>
      </c>
      <c r="F15" s="94">
        <f t="shared" si="0"/>
        <v>3208725</v>
      </c>
      <c r="G15" s="94">
        <f t="shared" si="0"/>
        <v>0</v>
      </c>
      <c r="H15" s="94">
        <f t="shared" si="0"/>
        <v>4219721</v>
      </c>
    </row>
    <row r="16" spans="1:9" ht="7.5" customHeight="1" x14ac:dyDescent="0.2">
      <c r="A16" s="131"/>
      <c r="B16" s="132"/>
      <c r="C16" s="133"/>
      <c r="D16" s="130"/>
      <c r="E16" s="130"/>
      <c r="F16" s="130"/>
      <c r="G16" s="130"/>
      <c r="H16" s="130"/>
    </row>
    <row r="17" spans="1:9" x14ac:dyDescent="0.2">
      <c r="A17" s="446" t="s">
        <v>119</v>
      </c>
      <c r="B17" s="257" t="s">
        <v>402</v>
      </c>
      <c r="C17" s="29" t="e">
        <f>Depts!#REF!</f>
        <v>#REF!</v>
      </c>
      <c r="D17" s="146"/>
      <c r="E17" s="418">
        <v>107999.24</v>
      </c>
      <c r="F17" s="256">
        <v>0</v>
      </c>
      <c r="G17" s="244">
        <f t="shared" ref="G17:G29" si="1">E17-F17</f>
        <v>107999.24</v>
      </c>
      <c r="H17" s="30">
        <v>1435693</v>
      </c>
      <c r="I17" s="215"/>
    </row>
    <row r="18" spans="1:9" x14ac:dyDescent="0.2">
      <c r="A18" s="450"/>
      <c r="B18" s="255" t="s">
        <v>403</v>
      </c>
      <c r="C18" s="30"/>
      <c r="D18" s="139"/>
      <c r="E18" s="253">
        <v>42023</v>
      </c>
      <c r="F18" s="253">
        <v>0</v>
      </c>
      <c r="G18" s="244">
        <f>E22-F18</f>
        <v>479821.16</v>
      </c>
      <c r="H18" s="30">
        <v>0</v>
      </c>
      <c r="I18" s="215"/>
    </row>
    <row r="19" spans="1:9" x14ac:dyDescent="0.2">
      <c r="A19" s="450"/>
      <c r="B19" s="255" t="s">
        <v>404</v>
      </c>
      <c r="C19" s="30"/>
      <c r="D19" s="139"/>
      <c r="E19" s="253">
        <v>283089.34999999998</v>
      </c>
      <c r="F19" s="253">
        <v>0</v>
      </c>
      <c r="G19" s="244">
        <f>E23-F19</f>
        <v>145854.82999999999</v>
      </c>
      <c r="H19" s="30">
        <v>0</v>
      </c>
      <c r="I19" s="215"/>
    </row>
    <row r="20" spans="1:9" x14ac:dyDescent="0.2">
      <c r="A20" s="450"/>
      <c r="B20" s="255" t="s">
        <v>405</v>
      </c>
      <c r="C20" s="30">
        <v>5046</v>
      </c>
      <c r="D20" s="139">
        <v>1528</v>
      </c>
      <c r="E20" s="253">
        <v>91583.41</v>
      </c>
      <c r="F20" s="253">
        <v>0</v>
      </c>
      <c r="G20" s="244">
        <f t="shared" si="1"/>
        <v>91583.41</v>
      </c>
      <c r="H20" s="30">
        <v>0</v>
      </c>
      <c r="I20" s="215"/>
    </row>
    <row r="21" spans="1:9" x14ac:dyDescent="0.2">
      <c r="A21" s="450"/>
      <c r="B21" s="255"/>
      <c r="C21" s="30">
        <v>23444</v>
      </c>
      <c r="D21" s="139">
        <v>271921</v>
      </c>
      <c r="E21" s="217">
        <v>0</v>
      </c>
      <c r="F21" s="253">
        <v>0</v>
      </c>
      <c r="G21" s="244">
        <f t="shared" si="1"/>
        <v>0</v>
      </c>
      <c r="H21" s="30">
        <v>0</v>
      </c>
      <c r="I21" s="215"/>
    </row>
    <row r="22" spans="1:9" x14ac:dyDescent="0.2">
      <c r="A22" s="450"/>
      <c r="B22" s="254" t="s">
        <v>395</v>
      </c>
      <c r="C22" s="34"/>
      <c r="D22" s="138"/>
      <c r="E22" s="199">
        <v>479821.16</v>
      </c>
      <c r="F22" s="253">
        <v>0</v>
      </c>
      <c r="G22" s="244">
        <f t="shared" si="1"/>
        <v>479821.16</v>
      </c>
      <c r="H22" s="30">
        <v>0</v>
      </c>
      <c r="I22" s="215"/>
    </row>
    <row r="23" spans="1:9" x14ac:dyDescent="0.2">
      <c r="A23" s="450"/>
      <c r="B23" s="254" t="s">
        <v>396</v>
      </c>
      <c r="C23" s="34">
        <v>296113</v>
      </c>
      <c r="D23" s="138"/>
      <c r="E23" s="251">
        <v>145854.82999999999</v>
      </c>
      <c r="F23" s="217">
        <v>0</v>
      </c>
      <c r="G23" s="244">
        <f t="shared" si="1"/>
        <v>145854.82999999999</v>
      </c>
      <c r="H23" s="30">
        <v>0</v>
      </c>
      <c r="I23" s="215"/>
    </row>
    <row r="24" spans="1:9" x14ac:dyDescent="0.2">
      <c r="A24" s="450"/>
      <c r="B24" s="255"/>
      <c r="C24" s="30">
        <v>11520</v>
      </c>
      <c r="D24" s="139">
        <v>1300</v>
      </c>
      <c r="E24" s="253">
        <v>0</v>
      </c>
      <c r="F24" s="253">
        <v>0</v>
      </c>
      <c r="G24" s="244">
        <f t="shared" si="1"/>
        <v>0</v>
      </c>
      <c r="H24" s="30">
        <v>0</v>
      </c>
      <c r="I24" s="215"/>
    </row>
    <row r="25" spans="1:9" x14ac:dyDescent="0.2">
      <c r="A25" s="450"/>
      <c r="B25" s="254" t="s">
        <v>209</v>
      </c>
      <c r="C25" s="30">
        <v>811923</v>
      </c>
      <c r="D25" s="139">
        <v>4803</v>
      </c>
      <c r="E25" s="253"/>
      <c r="F25" s="217"/>
      <c r="G25" s="244"/>
      <c r="H25" s="30">
        <v>0</v>
      </c>
      <c r="I25" s="215"/>
    </row>
    <row r="26" spans="1:9" ht="13.5" thickBot="1" x14ac:dyDescent="0.25">
      <c r="A26" s="451"/>
      <c r="B26" s="245"/>
      <c r="C26" s="204">
        <v>0</v>
      </c>
      <c r="D26" s="246">
        <v>31140</v>
      </c>
      <c r="E26" s="253">
        <v>0</v>
      </c>
      <c r="F26" s="253">
        <v>0</v>
      </c>
      <c r="G26" s="244">
        <f t="shared" si="1"/>
        <v>0</v>
      </c>
      <c r="H26" s="30">
        <v>0</v>
      </c>
      <c r="I26" s="215"/>
    </row>
    <row r="27" spans="1:9" x14ac:dyDescent="0.2">
      <c r="A27" s="450"/>
      <c r="B27" s="249"/>
      <c r="C27" s="85"/>
      <c r="D27" s="85"/>
      <c r="E27" s="250"/>
      <c r="F27" s="253"/>
      <c r="G27" s="244">
        <f t="shared" si="1"/>
        <v>0</v>
      </c>
      <c r="H27" s="30"/>
      <c r="I27" s="215"/>
    </row>
    <row r="28" spans="1:9" x14ac:dyDescent="0.2">
      <c r="A28" s="450"/>
      <c r="B28" s="77"/>
      <c r="C28" s="30"/>
      <c r="D28" s="139"/>
      <c r="E28" s="30"/>
      <c r="F28" s="30"/>
      <c r="G28" s="244"/>
      <c r="H28" s="30"/>
      <c r="I28" s="215"/>
    </row>
    <row r="29" spans="1:9" x14ac:dyDescent="0.2">
      <c r="A29" s="450"/>
      <c r="B29" s="22"/>
      <c r="C29" s="30">
        <f>Depts!C102</f>
        <v>3494</v>
      </c>
      <c r="D29" s="139">
        <f>Depts!D102</f>
        <v>2241</v>
      </c>
      <c r="E29" s="30">
        <v>0</v>
      </c>
      <c r="F29" s="30">
        <v>0</v>
      </c>
      <c r="G29" s="244">
        <f t="shared" si="1"/>
        <v>0</v>
      </c>
      <c r="H29" s="30">
        <v>0</v>
      </c>
      <c r="I29" s="215"/>
    </row>
    <row r="30" spans="1:9" customFormat="1" ht="18" customHeight="1" x14ac:dyDescent="0.2">
      <c r="A30" s="452"/>
      <c r="B30" s="248" t="s">
        <v>164</v>
      </c>
      <c r="C30" s="80" t="e">
        <f>SUM(C17:C26)</f>
        <v>#REF!</v>
      </c>
      <c r="D30" s="247">
        <f>SUM(D17:D26)</f>
        <v>310692</v>
      </c>
      <c r="E30" s="252">
        <f>SUM(E17:E29)</f>
        <v>1150370.99</v>
      </c>
      <c r="F30" s="252">
        <f t="shared" ref="F30:H30" si="2">SUM(F17:F29)</f>
        <v>0</v>
      </c>
      <c r="G30" s="252">
        <f t="shared" si="2"/>
        <v>1450934.6300000001</v>
      </c>
      <c r="H30" s="252">
        <f t="shared" si="2"/>
        <v>1435693</v>
      </c>
      <c r="I30" s="216"/>
    </row>
    <row r="31" spans="1:9" x14ac:dyDescent="0.2">
      <c r="C31" s="36"/>
      <c r="D31" s="85"/>
      <c r="E31" s="36"/>
      <c r="F31" s="85"/>
      <c r="G31" s="16"/>
      <c r="H31" s="16"/>
    </row>
    <row r="32" spans="1:9" x14ac:dyDescent="0.2">
      <c r="D32" s="33"/>
    </row>
    <row r="33" spans="4:5" x14ac:dyDescent="0.2">
      <c r="D33" s="33"/>
    </row>
    <row r="34" spans="4:5" x14ac:dyDescent="0.2">
      <c r="D34" s="95"/>
    </row>
    <row r="35" spans="4:5" x14ac:dyDescent="0.2">
      <c r="D35" s="33"/>
      <c r="E35" s="424"/>
    </row>
    <row r="36" spans="4:5" x14ac:dyDescent="0.2">
      <c r="D36" s="87"/>
    </row>
    <row r="37" spans="4:5" x14ac:dyDescent="0.2">
      <c r="D37" s="33"/>
    </row>
    <row r="38" spans="4:5" x14ac:dyDescent="0.2">
      <c r="D38" s="33"/>
    </row>
    <row r="39" spans="4:5" x14ac:dyDescent="0.2">
      <c r="D39" s="33"/>
    </row>
    <row r="40" spans="4:5" x14ac:dyDescent="0.2">
      <c r="D40" s="33"/>
    </row>
    <row r="41" spans="4:5" x14ac:dyDescent="0.2">
      <c r="D41" s="33"/>
    </row>
    <row r="42" spans="4:5" x14ac:dyDescent="0.2">
      <c r="D42" s="33"/>
    </row>
    <row r="43" spans="4:5" x14ac:dyDescent="0.2">
      <c r="D43" s="33"/>
    </row>
    <row r="44" spans="4:5" x14ac:dyDescent="0.2">
      <c r="D44" s="33"/>
    </row>
    <row r="45" spans="4:5" x14ac:dyDescent="0.2">
      <c r="D45" s="33"/>
    </row>
    <row r="46" spans="4:5" x14ac:dyDescent="0.2">
      <c r="D46" s="33"/>
    </row>
    <row r="47" spans="4:5" x14ac:dyDescent="0.2">
      <c r="D47" s="33"/>
    </row>
    <row r="48" spans="4:5" x14ac:dyDescent="0.2">
      <c r="D48" s="33"/>
    </row>
    <row r="49" spans="4:4" x14ac:dyDescent="0.2">
      <c r="D49" s="33"/>
    </row>
    <row r="50" spans="4:4" x14ac:dyDescent="0.2">
      <c r="D50" s="33"/>
    </row>
    <row r="51" spans="4:4" x14ac:dyDescent="0.2">
      <c r="D51" s="33"/>
    </row>
    <row r="52" spans="4:4" x14ac:dyDescent="0.2">
      <c r="D52" s="33"/>
    </row>
    <row r="53" spans="4:4" x14ac:dyDescent="0.2">
      <c r="D53" s="33"/>
    </row>
    <row r="100" spans="2:6" x14ac:dyDescent="0.2">
      <c r="B100" s="2" t="s">
        <v>41</v>
      </c>
      <c r="C100" s="2"/>
      <c r="E100" s="2"/>
      <c r="F100" s="2"/>
    </row>
  </sheetData>
  <mergeCells count="3">
    <mergeCell ref="A4:A15"/>
    <mergeCell ref="A17:A30"/>
    <mergeCell ref="A1:I1"/>
  </mergeCells>
  <phoneticPr fontId="2" type="noConversion"/>
  <printOptions horizontalCentered="1"/>
  <pageMargins left="0" right="0" top="0" bottom="0" header="0.5" footer="0"/>
  <pageSetup fitToHeight="0" orientation="portrait" verticalDpi="300" r:id="rId1"/>
  <headerFooter alignWithMargins="0">
    <oddHeader xml:space="preserve">&amp;RPrint Date: &amp;D   </oddHeader>
    <oddFooter>Page &amp;P&amp;RFY25  December 2024 Report to Council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J107"/>
  <sheetViews>
    <sheetView tabSelected="1" zoomScale="115" zoomScaleNormal="115" workbookViewId="0">
      <selection activeCell="A2" sqref="A2"/>
    </sheetView>
  </sheetViews>
  <sheetFormatPr defaultRowHeight="12.75" x14ac:dyDescent="0.2"/>
  <cols>
    <col min="1" max="1" width="3.7109375" style="14" customWidth="1"/>
    <col min="2" max="2" width="33.5703125" style="2" customWidth="1"/>
    <col min="3" max="4" width="0.42578125" style="2" customWidth="1"/>
    <col min="5" max="5" width="12" style="2" customWidth="1"/>
    <col min="6" max="6" width="13.42578125" style="2" customWidth="1"/>
    <col min="7" max="7" width="13.140625" style="2" customWidth="1"/>
    <col min="8" max="8" width="14" style="2" customWidth="1"/>
    <col min="9" max="9" width="12.85546875" style="2" customWidth="1"/>
    <col min="10" max="10" width="30.28515625" style="234" bestFit="1" customWidth="1"/>
    <col min="11" max="16384" width="9.140625" style="2"/>
  </cols>
  <sheetData>
    <row r="1" spans="1:10" ht="20.25" customHeight="1" x14ac:dyDescent="0.2">
      <c r="A1" s="432" t="s">
        <v>445</v>
      </c>
      <c r="B1" s="432"/>
      <c r="C1" s="432"/>
      <c r="D1" s="432"/>
      <c r="E1" s="432"/>
      <c r="F1" s="432"/>
      <c r="G1" s="432"/>
      <c r="H1" s="432"/>
      <c r="I1" s="432"/>
    </row>
    <row r="2" spans="1:10" ht="20.25" customHeight="1" x14ac:dyDescent="0.2">
      <c r="A2" s="263"/>
      <c r="B2" s="263"/>
      <c r="C2" s="263"/>
      <c r="D2" s="263"/>
      <c r="E2" s="263"/>
      <c r="F2" s="263"/>
      <c r="G2" s="263"/>
      <c r="H2" s="263"/>
      <c r="I2" s="263"/>
    </row>
    <row r="3" spans="1:10" ht="7.5" customHeight="1" x14ac:dyDescent="0.2">
      <c r="A3" s="226"/>
      <c r="B3" s="275"/>
      <c r="C3" s="156"/>
      <c r="D3" s="156"/>
      <c r="E3" s="156"/>
      <c r="F3" s="156"/>
      <c r="G3" s="156"/>
      <c r="H3" s="227"/>
      <c r="J3" s="235"/>
    </row>
    <row r="4" spans="1:10" s="27" customFormat="1" ht="26.25" customHeight="1" x14ac:dyDescent="0.2">
      <c r="A4" s="460" t="s">
        <v>67</v>
      </c>
      <c r="B4" s="269" t="s">
        <v>44</v>
      </c>
      <c r="C4" s="270" t="s">
        <v>126</v>
      </c>
      <c r="D4" s="270" t="s">
        <v>211</v>
      </c>
      <c r="E4" s="50" t="s">
        <v>413</v>
      </c>
      <c r="F4" s="50" t="s">
        <v>390</v>
      </c>
      <c r="G4" s="50" t="s">
        <v>282</v>
      </c>
      <c r="H4" s="50" t="s">
        <v>391</v>
      </c>
    </row>
    <row r="5" spans="1:10" x14ac:dyDescent="0.2">
      <c r="A5" s="461"/>
      <c r="B5" s="110" t="s">
        <v>389</v>
      </c>
      <c r="C5" s="30" t="e">
        <f>'10, 20, 30, 35, 40 Detail'!#REF!</f>
        <v>#REF!</v>
      </c>
      <c r="D5" s="139">
        <f>'10, 20, 30, 35, 40 Detail'!D4+'10, 20, 30, 35, 40 Detail'!D5</f>
        <v>17176</v>
      </c>
      <c r="E5" s="30">
        <f>SUM('10, 20, 30, 35, 40 Detail'!E5:E6)</f>
        <v>27547.829999999998</v>
      </c>
      <c r="F5" s="30">
        <v>39786</v>
      </c>
      <c r="G5" s="84">
        <v>0</v>
      </c>
      <c r="H5" s="30">
        <v>39786</v>
      </c>
    </row>
    <row r="6" spans="1:10" x14ac:dyDescent="0.2">
      <c r="A6" s="461"/>
      <c r="B6" s="110" t="s">
        <v>364</v>
      </c>
      <c r="C6" s="30" t="e">
        <f>'10, 20, 30, 35, 40 Detail'!#REF!</f>
        <v>#REF!</v>
      </c>
      <c r="D6" s="139">
        <f>'10, 20, 30, 35, 40 Detail'!D8</f>
        <v>1612</v>
      </c>
      <c r="E6" s="30">
        <f>SUM('10, 20, 30, 35, 40 Detail'!E10)</f>
        <v>3121.88</v>
      </c>
      <c r="F6" s="30">
        <v>0</v>
      </c>
      <c r="G6" s="84">
        <f t="shared" ref="G6:G12" si="0">H6-F6</f>
        <v>0</v>
      </c>
      <c r="H6" s="30">
        <v>0</v>
      </c>
    </row>
    <row r="7" spans="1:10" x14ac:dyDescent="0.2">
      <c r="A7" s="461"/>
      <c r="B7" s="110" t="s">
        <v>131</v>
      </c>
      <c r="C7" s="30" t="e">
        <f>'10, 20, 30, 35, 40 Detail'!#REF!</f>
        <v>#REF!</v>
      </c>
      <c r="D7" s="139">
        <f>'10, 20, 30, 35, 40 Detail'!D9</f>
        <v>5796</v>
      </c>
      <c r="E7" s="30">
        <f>SUM('10, 20, 30, 35, 40 Detail'!E9)</f>
        <v>8879.31</v>
      </c>
      <c r="F7" s="30">
        <v>10000</v>
      </c>
      <c r="G7" s="84">
        <v>-5000</v>
      </c>
      <c r="H7" s="30">
        <v>5000</v>
      </c>
    </row>
    <row r="8" spans="1:10" hidden="1" x14ac:dyDescent="0.2">
      <c r="A8" s="461"/>
      <c r="B8" s="6" t="s">
        <v>16</v>
      </c>
      <c r="C8" s="30" t="e">
        <f>'10, 20, 30, 35, 40 Detail'!#REF!</f>
        <v>#REF!</v>
      </c>
      <c r="D8" s="139">
        <f>'10, 20, 30, 35, 40 Detail'!D10</f>
        <v>0</v>
      </c>
      <c r="E8" s="30"/>
      <c r="F8" s="30">
        <v>0</v>
      </c>
      <c r="G8" s="84">
        <v>0</v>
      </c>
      <c r="H8" s="30">
        <v>0</v>
      </c>
    </row>
    <row r="9" spans="1:10" x14ac:dyDescent="0.2">
      <c r="A9" s="461"/>
      <c r="B9" s="6" t="s">
        <v>50</v>
      </c>
      <c r="C9" s="30" t="e">
        <f>'10, 20, 30, 35, 40 Detail'!#REF!</f>
        <v>#REF!</v>
      </c>
      <c r="D9" s="139">
        <f>'10, 20, 30, 35, 40 Detail'!D11</f>
        <v>47322</v>
      </c>
      <c r="E9" s="30"/>
      <c r="F9" s="30">
        <v>0</v>
      </c>
      <c r="G9" s="84">
        <f t="shared" si="0"/>
        <v>0</v>
      </c>
      <c r="H9" s="30">
        <v>0</v>
      </c>
    </row>
    <row r="10" spans="1:10" x14ac:dyDescent="0.2">
      <c r="A10" s="461"/>
      <c r="B10" s="110" t="s">
        <v>133</v>
      </c>
      <c r="C10" s="30" t="e">
        <f>'10, 20, 30, 35, 40 Detail'!#REF!</f>
        <v>#REF!</v>
      </c>
      <c r="D10" s="139">
        <f>'10, 20, 30, 35, 40 Detail'!D13</f>
        <v>964</v>
      </c>
      <c r="E10" s="30">
        <f>'10, 20, 30, 35, 40 Detail'!E13</f>
        <v>345.5</v>
      </c>
      <c r="F10" s="30">
        <v>1500</v>
      </c>
      <c r="G10" s="84">
        <v>5800</v>
      </c>
      <c r="H10" s="30">
        <v>7300</v>
      </c>
    </row>
    <row r="11" spans="1:10" x14ac:dyDescent="0.2">
      <c r="A11" s="461"/>
      <c r="B11" s="110" t="s">
        <v>134</v>
      </c>
      <c r="C11" s="30" t="e">
        <f>'10, 20, 30, 35, 40 Detail'!#REF!</f>
        <v>#REF!</v>
      </c>
      <c r="D11" s="139">
        <f>'10, 20, 30, 35, 40 Detail'!D15</f>
        <v>3850</v>
      </c>
      <c r="E11" s="30"/>
      <c r="F11" s="30">
        <v>5000</v>
      </c>
      <c r="G11" s="84">
        <v>1100</v>
      </c>
      <c r="H11" s="30">
        <v>6100</v>
      </c>
    </row>
    <row r="12" spans="1:10" x14ac:dyDescent="0.2">
      <c r="A12" s="461"/>
      <c r="B12" s="6" t="s">
        <v>2</v>
      </c>
      <c r="C12" s="30" t="e">
        <f>'10, 20, 30, 35, 40 Detail'!#REF!</f>
        <v>#REF!</v>
      </c>
      <c r="D12" s="139">
        <f>'10, 20, 30, 35, 40 Detail'!D16</f>
        <v>0</v>
      </c>
      <c r="E12" s="30"/>
      <c r="F12" s="30">
        <v>0</v>
      </c>
      <c r="G12" s="84">
        <f t="shared" si="0"/>
        <v>0</v>
      </c>
      <c r="H12" s="30">
        <f>'10, 20, 30, 35, 40 Detail'!H16</f>
        <v>0</v>
      </c>
    </row>
    <row r="13" spans="1:10" x14ac:dyDescent="0.2">
      <c r="A13" s="461"/>
      <c r="B13" s="111" t="s">
        <v>135</v>
      </c>
      <c r="C13" s="30" t="e">
        <f>'10, 20, 30, 35, 40 Detail'!#REF!</f>
        <v>#REF!</v>
      </c>
      <c r="D13" s="139">
        <f>'10, 20, 30, 35, 40 Detail'!D17</f>
        <v>8032</v>
      </c>
      <c r="E13" s="30">
        <f>'10, 20, 30, 35, 40 Detail'!E17</f>
        <v>11250</v>
      </c>
      <c r="F13" s="30">
        <v>15000</v>
      </c>
      <c r="G13" s="84">
        <v>0</v>
      </c>
      <c r="H13" s="30">
        <v>15000</v>
      </c>
    </row>
    <row r="14" spans="1:10" x14ac:dyDescent="0.2">
      <c r="A14" s="461"/>
      <c r="B14" s="110" t="s">
        <v>136</v>
      </c>
      <c r="C14" s="30" t="e">
        <f>'10, 20, 30, 35, 40 Detail'!#REF!</f>
        <v>#REF!</v>
      </c>
      <c r="D14" s="139">
        <f>'10, 20, 30, 35, 40 Detail'!D18</f>
        <v>3713</v>
      </c>
      <c r="E14" s="30">
        <f>SUM('10, 20, 30, 35, 40 Detail'!E18)</f>
        <v>726</v>
      </c>
      <c r="F14" s="30">
        <v>2980</v>
      </c>
      <c r="G14" s="84">
        <v>-1900</v>
      </c>
      <c r="H14" s="30">
        <v>1080</v>
      </c>
    </row>
    <row r="15" spans="1:10" x14ac:dyDescent="0.2">
      <c r="A15" s="461"/>
      <c r="B15" s="110" t="s">
        <v>137</v>
      </c>
      <c r="C15" s="30" t="e">
        <f>'10, 20, 30, 35, 40 Detail'!#REF!</f>
        <v>#REF!</v>
      </c>
      <c r="D15" s="139">
        <f>'10, 20, 30, 35, 40 Detail'!D19</f>
        <v>0</v>
      </c>
      <c r="E15" s="30">
        <v>0</v>
      </c>
      <c r="F15" s="30">
        <v>0</v>
      </c>
      <c r="G15" s="31">
        <f t="shared" ref="G15" si="1">E15-F15</f>
        <v>0</v>
      </c>
      <c r="H15" s="30">
        <v>0</v>
      </c>
    </row>
    <row r="16" spans="1:10" x14ac:dyDescent="0.2">
      <c r="A16" s="462"/>
      <c r="B16" s="58" t="s">
        <v>160</v>
      </c>
      <c r="C16" s="57" t="e">
        <f t="shared" ref="C16:H16" si="2">SUM(C5:C15)</f>
        <v>#REF!</v>
      </c>
      <c r="D16" s="166">
        <f t="shared" si="2"/>
        <v>88465</v>
      </c>
      <c r="E16" s="57">
        <f t="shared" si="2"/>
        <v>51870.52</v>
      </c>
      <c r="F16" s="57">
        <f t="shared" si="2"/>
        <v>74266</v>
      </c>
      <c r="G16" s="57">
        <f t="shared" si="2"/>
        <v>0</v>
      </c>
      <c r="H16" s="57">
        <f t="shared" si="2"/>
        <v>74266</v>
      </c>
    </row>
    <row r="17" spans="1:10" customFormat="1" ht="7.5" customHeight="1" x14ac:dyDescent="0.3">
      <c r="A17" s="190"/>
      <c r="B17" s="183"/>
      <c r="C17" s="184"/>
      <c r="D17" s="184"/>
      <c r="E17" s="183"/>
      <c r="F17" s="183"/>
      <c r="G17" s="184"/>
      <c r="H17" s="183"/>
      <c r="J17" s="234"/>
    </row>
    <row r="18" spans="1:10" s="26" customFormat="1" ht="26.25" customHeight="1" thickBot="1" x14ac:dyDescent="0.25">
      <c r="A18" s="460" t="s">
        <v>68</v>
      </c>
      <c r="B18" s="5" t="s">
        <v>44</v>
      </c>
      <c r="C18" s="50" t="s">
        <v>126</v>
      </c>
      <c r="D18" s="50" t="s">
        <v>211</v>
      </c>
      <c r="E18" s="50" t="s">
        <v>413</v>
      </c>
      <c r="F18" s="50" t="s">
        <v>390</v>
      </c>
      <c r="G18" s="50" t="s">
        <v>282</v>
      </c>
      <c r="H18" s="50" t="s">
        <v>391</v>
      </c>
    </row>
    <row r="19" spans="1:10" x14ac:dyDescent="0.2">
      <c r="A19" s="463"/>
      <c r="B19" s="110" t="s">
        <v>139</v>
      </c>
      <c r="C19" s="30" t="e">
        <f>'10, 20, 30, 35, 40 Detail'!#REF!</f>
        <v>#REF!</v>
      </c>
      <c r="D19" s="30">
        <f>'10, 20, 30, 35, 40 Detail'!D24</f>
        <v>216</v>
      </c>
      <c r="E19" s="262">
        <f>SUM('10, 20, 30, 35, 40 Detail'!E25:E26)</f>
        <v>1351514.34</v>
      </c>
      <c r="F19" s="207">
        <v>784104</v>
      </c>
      <c r="G19" s="84">
        <f>E19-H19</f>
        <v>541514.34000000008</v>
      </c>
      <c r="H19" s="30">
        <v>810000</v>
      </c>
    </row>
    <row r="20" spans="1:10" x14ac:dyDescent="0.2">
      <c r="A20" s="461"/>
      <c r="B20" s="110" t="s">
        <v>352</v>
      </c>
      <c r="C20" s="30" t="e">
        <f>'10, 20, 30, 35, 40 Detail'!#REF!+'10, 20, 30, 35, 40 Detail'!#REF!</f>
        <v>#REF!</v>
      </c>
      <c r="D20" s="30"/>
      <c r="E20" s="262">
        <f>SUM('10, 20, 30, 35, 40 Detail'!E27)</f>
        <v>53056.45</v>
      </c>
      <c r="F20" s="207">
        <v>50000</v>
      </c>
      <c r="G20" s="84">
        <f t="shared" ref="G20:G38" si="3">E20-H20</f>
        <v>-11943.550000000003</v>
      </c>
      <c r="H20" s="30">
        <v>65000</v>
      </c>
    </row>
    <row r="21" spans="1:10" x14ac:dyDescent="0.2">
      <c r="A21" s="461"/>
      <c r="B21" s="6" t="s">
        <v>358</v>
      </c>
      <c r="C21" s="30" t="e">
        <f>'10, 20, 30, 35, 40 Detail'!#REF!</f>
        <v>#REF!</v>
      </c>
      <c r="D21" s="30">
        <f>'10, 20, 30, 35, 40 Detail'!D27</f>
        <v>16047</v>
      </c>
      <c r="E21" s="262">
        <f>SUM('10, 20, 30, 35, 40 Detail'!E28,'10, 20, 30, 35, 40 Detail'!E30)</f>
        <v>44857.599999999999</v>
      </c>
      <c r="F21" s="207">
        <v>40000</v>
      </c>
      <c r="G21" s="84">
        <f t="shared" si="3"/>
        <v>4857.5999999999985</v>
      </c>
      <c r="H21" s="30">
        <v>40000</v>
      </c>
    </row>
    <row r="22" spans="1:10" x14ac:dyDescent="0.2">
      <c r="A22" s="461"/>
      <c r="B22" s="111" t="s">
        <v>393</v>
      </c>
      <c r="C22" s="30"/>
      <c r="D22" s="30"/>
      <c r="E22" s="262">
        <f>'10, 20, 30, 35, 40 Detail'!E47</f>
        <v>2789.89</v>
      </c>
      <c r="F22" s="207">
        <f>'10, 20, 30, 35, 40 Detail'!F47</f>
        <v>0</v>
      </c>
      <c r="G22" s="84">
        <f>E22-F22</f>
        <v>2789.89</v>
      </c>
      <c r="H22" s="30">
        <v>7000</v>
      </c>
    </row>
    <row r="23" spans="1:10" x14ac:dyDescent="0.2">
      <c r="A23" s="461"/>
      <c r="B23" s="110" t="s">
        <v>382</v>
      </c>
      <c r="C23" s="30"/>
      <c r="D23" s="30"/>
      <c r="E23" s="262">
        <f>'10, 20, 30, 35, 40 Detail'!E29</f>
        <v>3630</v>
      </c>
      <c r="F23" s="207">
        <v>0</v>
      </c>
      <c r="G23" s="84">
        <f>E23-F23</f>
        <v>3630</v>
      </c>
      <c r="H23" s="30">
        <v>15000</v>
      </c>
    </row>
    <row r="24" spans="1:10" x14ac:dyDescent="0.2">
      <c r="A24" s="461"/>
      <c r="B24" s="110" t="s">
        <v>141</v>
      </c>
      <c r="C24" s="30" t="e">
        <f>'10, 20, 30, 35, 40 Detail'!#REF!+'10, 20, 30, 35, 40 Detail'!#REF!+'10, 20, 30, 35, 40 Detail'!#REF!</f>
        <v>#REF!</v>
      </c>
      <c r="D24" s="30" t="e">
        <f>'10, 20, 30, 35, 40 Detail'!#REF!+'10, 20, 30, 35, 40 Detail'!D30</f>
        <v>#REF!</v>
      </c>
      <c r="E24" s="262">
        <f>'10, 20, 30, 35, 40 Detail'!E49</f>
        <v>132948.24</v>
      </c>
      <c r="F24" s="207">
        <v>13200</v>
      </c>
      <c r="G24" s="84">
        <f t="shared" si="3"/>
        <v>119748.23999999999</v>
      </c>
      <c r="H24" s="30">
        <v>13200</v>
      </c>
    </row>
    <row r="25" spans="1:10" x14ac:dyDescent="0.2">
      <c r="A25" s="461"/>
      <c r="B25" s="110" t="s">
        <v>58</v>
      </c>
      <c r="C25" s="30" t="e">
        <f>'10, 20, 30, 35, 40 Detail'!#REF!+'10, 20, 30, 35, 40 Detail'!#REF!</f>
        <v>#REF!</v>
      </c>
      <c r="D25" s="30" t="e">
        <f>'10, 20, 30, 35, 40 Detail'!#REF!+'10, 20, 30, 35, 40 Detail'!D32+'10, 20, 30, 35, 40 Detail'!D34</f>
        <v>#REF!</v>
      </c>
      <c r="E25" s="262">
        <f>SUM('10, 20, 30, 35, 40 Detail'!E38:E40)</f>
        <v>38869.31</v>
      </c>
      <c r="F25" s="207">
        <v>280000</v>
      </c>
      <c r="G25" s="84">
        <f t="shared" si="3"/>
        <v>-224330.69</v>
      </c>
      <c r="H25" s="30">
        <v>263200</v>
      </c>
    </row>
    <row r="26" spans="1:10" x14ac:dyDescent="0.2">
      <c r="A26" s="461"/>
      <c r="B26" s="6" t="s">
        <v>100</v>
      </c>
      <c r="C26" s="30" t="e">
        <f>SUM('10, 20, 30, 35, 40 Detail'!#REF!)</f>
        <v>#REF!</v>
      </c>
      <c r="D26" s="30">
        <f>SUM('10, 20, 30, 35, 40 Detail'!D35:D37)+'10, 20, 30, 35, 40 Detail'!D31+'10, 20, 30, 35, 40 Detail'!D34</f>
        <v>17666</v>
      </c>
      <c r="E26" s="262">
        <f>SUM('10, 20, 30, 35, 40 Detail'!E43)</f>
        <v>-131349</v>
      </c>
      <c r="F26" s="207">
        <v>176000</v>
      </c>
      <c r="G26" s="84">
        <f t="shared" si="3"/>
        <v>-307349</v>
      </c>
      <c r="H26" s="30">
        <v>176000</v>
      </c>
    </row>
    <row r="27" spans="1:10" x14ac:dyDescent="0.2">
      <c r="A27" s="461"/>
      <c r="B27" s="6" t="s">
        <v>353</v>
      </c>
      <c r="C27" s="30"/>
      <c r="D27" s="30"/>
      <c r="E27" s="262">
        <f>SUM('10, 20, 30, 35, 40 Detail'!E50)</f>
        <v>33186</v>
      </c>
      <c r="F27" s="207">
        <v>200</v>
      </c>
      <c r="G27" s="84">
        <f t="shared" si="3"/>
        <v>26186</v>
      </c>
      <c r="H27" s="30">
        <v>7000</v>
      </c>
    </row>
    <row r="28" spans="1:10" x14ac:dyDescent="0.2">
      <c r="A28" s="461"/>
      <c r="B28" s="6" t="s">
        <v>354</v>
      </c>
      <c r="C28" s="30"/>
      <c r="D28" s="30"/>
      <c r="E28" s="262">
        <f>SUM('10, 20, 30, 35, 40 Detail'!E35:E37)</f>
        <v>56019.509999999995</v>
      </c>
      <c r="F28" s="207">
        <v>32000</v>
      </c>
      <c r="G28" s="84">
        <f t="shared" si="3"/>
        <v>21415.509999999995</v>
      </c>
      <c r="H28" s="30">
        <v>34604</v>
      </c>
    </row>
    <row r="29" spans="1:10" x14ac:dyDescent="0.2">
      <c r="A29" s="461"/>
      <c r="B29" s="6" t="s">
        <v>355</v>
      </c>
      <c r="C29" s="30" t="e">
        <f>'10, 20, 30, 35, 40 Detail'!#REF!</f>
        <v>#REF!</v>
      </c>
      <c r="D29" s="30">
        <f>'10, 20, 30, 35, 40 Detail'!D43</f>
        <v>238838</v>
      </c>
      <c r="E29" s="262">
        <f>SUM('10, 20, 30, 35, 40 Detail'!E34)</f>
        <v>24197</v>
      </c>
      <c r="F29" s="207">
        <v>7000</v>
      </c>
      <c r="G29" s="84">
        <f t="shared" si="3"/>
        <v>16197</v>
      </c>
      <c r="H29" s="30">
        <v>8000</v>
      </c>
    </row>
    <row r="30" spans="1:10" x14ac:dyDescent="0.2">
      <c r="A30" s="461"/>
      <c r="B30" s="110" t="s">
        <v>359</v>
      </c>
      <c r="C30" s="30" t="e">
        <f>'10, 20, 30, 35, 40 Detail'!#REF!</f>
        <v>#REF!</v>
      </c>
      <c r="D30" s="30">
        <f>'10, 20, 30, 35, 40 Detail'!D45</f>
        <v>4522</v>
      </c>
      <c r="E30" s="262">
        <f>SUM('10, 20, 30, 35, 40 Detail'!E44)</f>
        <v>6955</v>
      </c>
      <c r="F30" s="207">
        <v>12500</v>
      </c>
      <c r="G30" s="84">
        <f t="shared" si="3"/>
        <v>-5545</v>
      </c>
      <c r="H30" s="30">
        <v>12500</v>
      </c>
    </row>
    <row r="31" spans="1:10" x14ac:dyDescent="0.2">
      <c r="A31" s="461"/>
      <c r="B31" s="111" t="s">
        <v>305</v>
      </c>
      <c r="C31" s="30" t="e">
        <f>'10, 20, 30, 35, 40 Detail'!#REF!</f>
        <v>#REF!</v>
      </c>
      <c r="D31" s="30">
        <f>'10, 20, 30, 35, 40 Detail'!D46</f>
        <v>977</v>
      </c>
      <c r="E31" s="262">
        <f>SUM('10, 20, 30, 35, 40 Detail'!E41,'10, 20, 30, 35, 40 Detail'!E33,'10, 20, 30, 35, 40 Detail'!E42)</f>
        <v>101174.41</v>
      </c>
      <c r="F31" s="30">
        <v>0</v>
      </c>
      <c r="G31" s="84">
        <f t="shared" si="3"/>
        <v>41174.410000000003</v>
      </c>
      <c r="H31" s="30">
        <f>'10, 20, 30, 35, 40 Detail'!H46</f>
        <v>60000</v>
      </c>
    </row>
    <row r="32" spans="1:10" x14ac:dyDescent="0.2">
      <c r="A32" s="461"/>
      <c r="B32" s="111" t="s">
        <v>298</v>
      </c>
      <c r="C32" s="30" t="e">
        <f>'10, 20, 30, 35, 40 Detail'!#REF!</f>
        <v>#REF!</v>
      </c>
      <c r="D32" s="30">
        <f>'10, 20, 30, 35, 40 Detail'!D49</f>
        <v>357</v>
      </c>
      <c r="E32" s="262">
        <f>SUM('10, 20, 30, 35, 40 Detail'!E45)</f>
        <v>8410.7199999999993</v>
      </c>
      <c r="F32" s="207">
        <v>8900</v>
      </c>
      <c r="G32" s="84">
        <f t="shared" si="3"/>
        <v>4510.7199999999993</v>
      </c>
      <c r="H32" s="30">
        <v>3900</v>
      </c>
    </row>
    <row r="33" spans="1:10" x14ac:dyDescent="0.2">
      <c r="A33" s="461"/>
      <c r="B33" s="111" t="s">
        <v>2</v>
      </c>
      <c r="C33" s="30"/>
      <c r="D33" s="30"/>
      <c r="E33" s="262">
        <f>SUM('10, 20, 30, 35, 40 Detail'!E31)</f>
        <v>19998</v>
      </c>
      <c r="F33" s="30">
        <v>0</v>
      </c>
      <c r="G33" s="84">
        <f t="shared" si="3"/>
        <v>18998</v>
      </c>
      <c r="H33" s="30">
        <v>1000</v>
      </c>
    </row>
    <row r="34" spans="1:10" x14ac:dyDescent="0.2">
      <c r="A34" s="461"/>
      <c r="B34" s="111" t="s">
        <v>356</v>
      </c>
      <c r="C34" s="30"/>
      <c r="D34" s="30">
        <f>'10, 20, 30, 35, 40 Detail'!D52</f>
        <v>11756</v>
      </c>
      <c r="E34" s="262">
        <f>SUM('10, 20, 30, 35, 40 Detail'!E32)</f>
        <v>0</v>
      </c>
      <c r="F34" s="207">
        <v>38000</v>
      </c>
      <c r="G34" s="84">
        <f t="shared" si="3"/>
        <v>-38000</v>
      </c>
      <c r="H34" s="30">
        <v>38000</v>
      </c>
    </row>
    <row r="35" spans="1:10" x14ac:dyDescent="0.2">
      <c r="A35" s="461"/>
      <c r="B35" s="6" t="s">
        <v>309</v>
      </c>
      <c r="C35" s="30" t="e">
        <f>'10, 20, 30, 35, 40 Detail'!#REF!</f>
        <v>#REF!</v>
      </c>
      <c r="D35" s="30">
        <f>'10, 20, 30, 35, 40 Detail'!D50</f>
        <v>559</v>
      </c>
      <c r="E35" s="262">
        <f>SUM('10, 20, 30, 35, 40 Detail'!E48)</f>
        <v>8767.33</v>
      </c>
      <c r="F35" s="207"/>
      <c r="G35" s="84">
        <f t="shared" si="3"/>
        <v>8267.33</v>
      </c>
      <c r="H35" s="30">
        <v>500</v>
      </c>
    </row>
    <row r="36" spans="1:10" x14ac:dyDescent="0.2">
      <c r="A36" s="461"/>
      <c r="B36" s="125" t="s">
        <v>357</v>
      </c>
      <c r="C36" s="217"/>
      <c r="D36" s="201"/>
      <c r="E36" s="262">
        <f>SUM('10, 20, 30, 35, 40 Detail'!E52,'10, 20, 30, 35, 40 Detail'!E53)</f>
        <v>3991</v>
      </c>
      <c r="F36" s="289">
        <v>2100</v>
      </c>
      <c r="G36" s="84">
        <f t="shared" si="3"/>
        <v>1891</v>
      </c>
      <c r="H36" s="217">
        <v>2100</v>
      </c>
    </row>
    <row r="37" spans="1:10" x14ac:dyDescent="0.2">
      <c r="A37" s="461"/>
      <c r="B37" s="309" t="s">
        <v>365</v>
      </c>
      <c r="C37" s="217"/>
      <c r="D37" s="201"/>
      <c r="E37" s="262">
        <f>SUM('10, 20, 30, 35, 40 Detail'!E46)</f>
        <v>75000</v>
      </c>
      <c r="F37" s="289"/>
      <c r="G37" s="84">
        <f t="shared" si="3"/>
        <v>75000</v>
      </c>
      <c r="H37" s="217"/>
    </row>
    <row r="38" spans="1:10" x14ac:dyDescent="0.2">
      <c r="A38" s="461"/>
      <c r="B38" s="125" t="s">
        <v>307</v>
      </c>
      <c r="C38" s="217"/>
      <c r="D38" s="201"/>
      <c r="E38" s="262">
        <f>SUM('10, 20, 30, 35, 40 Detail'!E24)</f>
        <v>94.09</v>
      </c>
      <c r="F38" s="289">
        <v>0</v>
      </c>
      <c r="G38" s="84">
        <f t="shared" si="3"/>
        <v>-16905.91</v>
      </c>
      <c r="H38" s="217">
        <v>17000</v>
      </c>
    </row>
    <row r="39" spans="1:10" x14ac:dyDescent="0.2">
      <c r="A39" s="462"/>
      <c r="B39" s="58" t="s">
        <v>161</v>
      </c>
      <c r="C39" s="57" t="e">
        <f>SUM(C19:C35)</f>
        <v>#REF!</v>
      </c>
      <c r="D39" s="166" t="e">
        <f>SUM(D19:D35)</f>
        <v>#REF!</v>
      </c>
      <c r="E39" s="57">
        <f>SUM(E19:E38)</f>
        <v>1834109.8900000001</v>
      </c>
      <c r="F39" s="57">
        <f>SUM(F19:F38)</f>
        <v>1444004</v>
      </c>
      <c r="G39" s="57">
        <f>SUM(G19:G38)</f>
        <v>282105.89000000007</v>
      </c>
      <c r="H39" s="57">
        <f>SUM(H19:H38)</f>
        <v>1574004</v>
      </c>
    </row>
    <row r="40" spans="1:10" ht="20.25" customHeight="1" x14ac:dyDescent="0.2">
      <c r="A40" s="191"/>
      <c r="B40" s="132"/>
      <c r="C40" s="185"/>
      <c r="D40" s="185"/>
      <c r="E40" s="186"/>
      <c r="F40" s="186"/>
      <c r="G40" s="185"/>
      <c r="H40" s="186"/>
    </row>
    <row r="41" spans="1:10" s="26" customFormat="1" ht="26.25" customHeight="1" x14ac:dyDescent="0.2">
      <c r="A41" s="460" t="s">
        <v>69</v>
      </c>
      <c r="B41" s="5" t="s">
        <v>44</v>
      </c>
      <c r="C41" s="50" t="s">
        <v>126</v>
      </c>
      <c r="D41" s="50" t="s">
        <v>211</v>
      </c>
      <c r="E41" s="50" t="s">
        <v>413</v>
      </c>
      <c r="F41" s="50" t="s">
        <v>390</v>
      </c>
      <c r="G41" s="50" t="s">
        <v>282</v>
      </c>
      <c r="H41" s="50" t="s">
        <v>391</v>
      </c>
      <c r="J41" s="236"/>
    </row>
    <row r="42" spans="1:10" x14ac:dyDescent="0.2">
      <c r="A42" s="461"/>
      <c r="B42" s="48" t="s">
        <v>59</v>
      </c>
      <c r="C42" s="55" t="e">
        <f>SUM('10, 20, 30, 35, 40 Detail'!#REF!)</f>
        <v>#REF!</v>
      </c>
      <c r="D42" s="139" t="e">
        <f>SUM('10, 20, 30, 35, 40 Detail'!D57:D58)+'10, 20, 30, 35, 40 Detail'!#REF!</f>
        <v>#REF!</v>
      </c>
      <c r="E42" s="415">
        <f>SUM('10, 20, 30, 35, 40 Detail'!E57,'10, 20, 30, 35, 40 Detail'!E58)</f>
        <v>32290.86</v>
      </c>
      <c r="F42" s="55">
        <v>577028</v>
      </c>
      <c r="G42" s="97">
        <v>0</v>
      </c>
      <c r="H42" s="55">
        <v>577028</v>
      </c>
    </row>
    <row r="43" spans="1:10" x14ac:dyDescent="0.2">
      <c r="A43" s="461"/>
      <c r="B43" s="11" t="s">
        <v>143</v>
      </c>
      <c r="C43" s="56" t="e">
        <f>'10, 20, 30, 35, 40 Detail'!#REF!</f>
        <v>#REF!</v>
      </c>
      <c r="D43" s="139">
        <f>'10, 20, 30, 35, 40 Detail'!D60</f>
        <v>949</v>
      </c>
      <c r="E43" s="292">
        <f>SUM('10, 20, 30, 35, 40 Detail'!E60)</f>
        <v>0</v>
      </c>
      <c r="F43" s="56">
        <v>2500</v>
      </c>
      <c r="G43" s="97">
        <v>0</v>
      </c>
      <c r="H43" s="56">
        <f>'10, 20, 30, 35, 40 Detail'!H60</f>
        <v>2500</v>
      </c>
    </row>
    <row r="44" spans="1:10" x14ac:dyDescent="0.2">
      <c r="A44" s="461"/>
      <c r="B44" s="11" t="s">
        <v>61</v>
      </c>
      <c r="C44" s="31"/>
      <c r="D44" s="139"/>
      <c r="E44" s="105">
        <f>SUM('10, 20, 30, 35, 40 Detail'!E69:E70,'10, 20, 30, 35, 40 Detail'!E73)</f>
        <v>74340</v>
      </c>
      <c r="F44" s="30">
        <v>45000</v>
      </c>
      <c r="G44" s="97">
        <v>0</v>
      </c>
      <c r="H44" s="31">
        <v>45000</v>
      </c>
    </row>
    <row r="45" spans="1:10" x14ac:dyDescent="0.2">
      <c r="A45" s="461"/>
      <c r="B45" s="11" t="s">
        <v>360</v>
      </c>
      <c r="C45" s="31"/>
      <c r="D45" s="139"/>
      <c r="E45" s="281">
        <f>SUM('10, 20, 30, 35, 40 Detail'!E63)</f>
        <v>4303</v>
      </c>
      <c r="F45" s="31">
        <v>6000</v>
      </c>
      <c r="G45" s="84">
        <v>0</v>
      </c>
      <c r="H45" s="31">
        <v>6000</v>
      </c>
    </row>
    <row r="46" spans="1:10" x14ac:dyDescent="0.2">
      <c r="A46" s="461"/>
      <c r="B46" s="11" t="s">
        <v>276</v>
      </c>
      <c r="C46" s="31"/>
      <c r="D46" s="139"/>
      <c r="E46" s="281">
        <f>SUM('10, 20, 30, 35, 40 Detail'!E67)</f>
        <v>8167</v>
      </c>
      <c r="F46" s="31">
        <v>1000</v>
      </c>
      <c r="G46" s="84">
        <v>0</v>
      </c>
      <c r="H46" s="31">
        <v>1000</v>
      </c>
    </row>
    <row r="47" spans="1:10" x14ac:dyDescent="0.2">
      <c r="A47" s="461"/>
      <c r="B47" s="11" t="s">
        <v>172</v>
      </c>
      <c r="C47" s="31"/>
      <c r="D47" s="139"/>
      <c r="E47" s="281">
        <f>'10, 20, 30, 35, 40 Detail'!E65</f>
        <v>3667</v>
      </c>
      <c r="F47" s="31">
        <v>27500</v>
      </c>
      <c r="G47" s="84">
        <v>0</v>
      </c>
      <c r="H47" s="31">
        <v>27500</v>
      </c>
    </row>
    <row r="48" spans="1:10" x14ac:dyDescent="0.2">
      <c r="A48" s="461"/>
      <c r="B48" s="11" t="s">
        <v>112</v>
      </c>
      <c r="C48" s="56" t="e">
        <f>'10, 20, 30, 35, 40 Detail'!#REF!</f>
        <v>#REF!</v>
      </c>
      <c r="D48" s="139">
        <f>'10, 20, 30, 35, 40 Detail'!D67</f>
        <v>0</v>
      </c>
      <c r="E48" s="292">
        <f>'10, 20, 30, 35, 40 Detail'!E71</f>
        <v>600</v>
      </c>
      <c r="F48" s="56">
        <v>15000</v>
      </c>
      <c r="G48" s="84">
        <v>0</v>
      </c>
      <c r="H48" s="30">
        <v>15000</v>
      </c>
    </row>
    <row r="49" spans="1:10" x14ac:dyDescent="0.2">
      <c r="A49" s="461"/>
      <c r="B49" s="11" t="s">
        <v>307</v>
      </c>
      <c r="C49" s="56"/>
      <c r="D49" s="139"/>
      <c r="E49" s="292">
        <f>SUM('10, 20, 30, 35, 40 Detail'!E68)</f>
        <v>76097.98</v>
      </c>
      <c r="F49" s="56"/>
      <c r="G49" s="84">
        <v>0</v>
      </c>
      <c r="H49" s="30">
        <v>0</v>
      </c>
    </row>
    <row r="50" spans="1:10" x14ac:dyDescent="0.2">
      <c r="A50" s="462"/>
      <c r="B50" s="58" t="s">
        <v>162</v>
      </c>
      <c r="C50" s="57" t="e">
        <f t="shared" ref="C50:H50" si="4">SUM(C42:C49)</f>
        <v>#REF!</v>
      </c>
      <c r="D50" s="57" t="e">
        <f t="shared" si="4"/>
        <v>#REF!</v>
      </c>
      <c r="E50" s="57">
        <f t="shared" si="4"/>
        <v>199465.84</v>
      </c>
      <c r="F50" s="57">
        <f t="shared" si="4"/>
        <v>674028</v>
      </c>
      <c r="G50" s="57">
        <f t="shared" si="4"/>
        <v>0</v>
      </c>
      <c r="H50" s="57">
        <f t="shared" si="4"/>
        <v>674028</v>
      </c>
    </row>
    <row r="51" spans="1:10" ht="12" customHeight="1" x14ac:dyDescent="0.2">
      <c r="A51" s="191"/>
      <c r="B51" s="132"/>
      <c r="C51" s="185"/>
      <c r="D51" s="185"/>
      <c r="E51" s="186"/>
      <c r="F51" s="186"/>
      <c r="G51" s="185"/>
      <c r="H51" s="186"/>
    </row>
    <row r="52" spans="1:10" ht="21" customHeight="1" x14ac:dyDescent="0.2">
      <c r="A52" s="228"/>
      <c r="C52" s="95"/>
      <c r="D52" s="95"/>
      <c r="E52" s="33"/>
      <c r="F52" s="33"/>
      <c r="G52" s="95"/>
      <c r="H52" s="33"/>
      <c r="J52" s="237"/>
    </row>
    <row r="53" spans="1:10" ht="26.25" customHeight="1" x14ac:dyDescent="0.2">
      <c r="A53" s="460" t="s">
        <v>86</v>
      </c>
      <c r="B53" s="5" t="s">
        <v>44</v>
      </c>
      <c r="C53" s="50" t="s">
        <v>126</v>
      </c>
      <c r="D53" s="50" t="s">
        <v>211</v>
      </c>
      <c r="E53" s="50" t="s">
        <v>413</v>
      </c>
      <c r="F53" s="50" t="s">
        <v>390</v>
      </c>
      <c r="G53" s="50" t="s">
        <v>282</v>
      </c>
      <c r="H53" s="50" t="s">
        <v>391</v>
      </c>
      <c r="J53" s="237"/>
    </row>
    <row r="54" spans="1:10" x14ac:dyDescent="0.2">
      <c r="A54" s="461"/>
      <c r="B54" s="10" t="s">
        <v>60</v>
      </c>
      <c r="C54" s="31" t="e">
        <f>'Maint Detail'!#REF!+'Maint Detail'!#REF!</f>
        <v>#REF!</v>
      </c>
      <c r="D54" s="139" t="e">
        <f>'Maint Detail'!#REF!+'Maint Detail'!#REF!+'Maint Detail'!#REF!+'Maint Detail'!#REF!</f>
        <v>#REF!</v>
      </c>
      <c r="E54" s="281">
        <f>SUM('Maint Detail'!E6:E7)</f>
        <v>314826.55000000005</v>
      </c>
      <c r="F54" s="31">
        <v>534306</v>
      </c>
      <c r="G54" s="84">
        <f>E54-H54</f>
        <v>-219479.44999999995</v>
      </c>
      <c r="H54" s="31">
        <v>534306</v>
      </c>
      <c r="J54" s="237"/>
    </row>
    <row r="55" spans="1:10" x14ac:dyDescent="0.2">
      <c r="A55" s="461"/>
      <c r="B55" s="11" t="s">
        <v>352</v>
      </c>
      <c r="C55" s="31"/>
      <c r="D55" s="139" t="e">
        <f>'Maint Detail'!#REF!</f>
        <v>#REF!</v>
      </c>
      <c r="E55" s="281">
        <f>'Maint Detail'!E8</f>
        <v>4115.24</v>
      </c>
      <c r="F55" s="31">
        <v>1500</v>
      </c>
      <c r="G55" s="84">
        <f t="shared" ref="G55:G60" si="5">E55-H55</f>
        <v>2615.2399999999998</v>
      </c>
      <c r="H55" s="31">
        <v>1500</v>
      </c>
      <c r="J55" s="237"/>
    </row>
    <row r="56" spans="1:10" x14ac:dyDescent="0.2">
      <c r="A56" s="461"/>
      <c r="B56" s="11" t="s">
        <v>297</v>
      </c>
      <c r="C56" s="30" t="e">
        <f>'Maint Detail'!#REF!+'Maint Detail'!#REF!+'Maint Detail'!#REF!+'Maint Detail'!#REF!+'Maint Detail'!#REF!+'Maint Detail'!#REF!+'Maint Detail'!#REF!+'Maint Detail'!#REF!</f>
        <v>#REF!</v>
      </c>
      <c r="D56" s="139" t="e">
        <f>'Maint Detail'!#REF!+'Maint Detail'!#REF!+'Maint Detail'!#REF!+'Maint Detail'!#REF!+'Maint Detail'!#REF!+'Maint Detail'!#REF!+'Maint Detail'!#REF!+'Maint Detail'!#REF!</f>
        <v>#REF!</v>
      </c>
      <c r="E56" s="105">
        <f>'Maint Detail'!E14</f>
        <v>5597.28</v>
      </c>
      <c r="F56" s="30">
        <v>0</v>
      </c>
      <c r="G56" s="84">
        <f t="shared" si="5"/>
        <v>5597.28</v>
      </c>
      <c r="H56" s="30">
        <v>0</v>
      </c>
      <c r="J56" s="237"/>
    </row>
    <row r="57" spans="1:10" x14ac:dyDescent="0.2">
      <c r="A57" s="461"/>
      <c r="B57" s="11" t="s">
        <v>61</v>
      </c>
      <c r="C57" s="30" t="e">
        <f>'Maint Detail'!#REF!</f>
        <v>#REF!</v>
      </c>
      <c r="D57" s="139" t="e">
        <f>'Maint Detail'!#REF!</f>
        <v>#REF!</v>
      </c>
      <c r="E57" s="105">
        <f>SUM('Maint Detail'!E16:E19)</f>
        <v>12454.91</v>
      </c>
      <c r="F57" s="30">
        <v>64000</v>
      </c>
      <c r="G57" s="84">
        <f t="shared" si="5"/>
        <v>-51545.09</v>
      </c>
      <c r="H57" s="30">
        <v>64000</v>
      </c>
      <c r="J57" s="237"/>
    </row>
    <row r="58" spans="1:10" x14ac:dyDescent="0.2">
      <c r="A58" s="461"/>
      <c r="B58" s="11" t="s">
        <v>296</v>
      </c>
      <c r="C58" s="30"/>
      <c r="D58" s="139"/>
      <c r="E58" s="105">
        <f>'Maint Detail'!E11</f>
        <v>65230</v>
      </c>
      <c r="F58" s="30">
        <v>25000</v>
      </c>
      <c r="G58" s="84">
        <f t="shared" si="5"/>
        <v>40230</v>
      </c>
      <c r="H58" s="30">
        <v>25000</v>
      </c>
      <c r="J58" s="237"/>
    </row>
    <row r="59" spans="1:10" x14ac:dyDescent="0.2">
      <c r="A59" s="461"/>
      <c r="B59" s="11" t="s">
        <v>366</v>
      </c>
      <c r="C59" s="30" t="e">
        <f>'Maint Detail'!#REF!</f>
        <v>#REF!</v>
      </c>
      <c r="D59" s="139" t="e">
        <f>'Maint Detail'!#REF!</f>
        <v>#REF!</v>
      </c>
      <c r="E59" s="105">
        <f>'Maint Detail'!E9+'Maint Detail'!E21</f>
        <v>4598</v>
      </c>
      <c r="F59" s="30">
        <v>17000</v>
      </c>
      <c r="G59" s="84">
        <f t="shared" si="5"/>
        <v>-12402</v>
      </c>
      <c r="H59" s="30">
        <v>17000</v>
      </c>
      <c r="J59" s="237"/>
    </row>
    <row r="60" spans="1:10" x14ac:dyDescent="0.2">
      <c r="A60" s="461"/>
      <c r="B60" s="11" t="s">
        <v>172</v>
      </c>
      <c r="C60" s="30" t="e">
        <f>'Maint Detail'!#REF!</f>
        <v>#REF!</v>
      </c>
      <c r="D60" s="139" t="e">
        <f>'Maint Detail'!#REF!</f>
        <v>#REF!</v>
      </c>
      <c r="E60" s="105">
        <f>'Maint Detail'!E12</f>
        <v>699.99</v>
      </c>
      <c r="F60" s="30">
        <v>30000</v>
      </c>
      <c r="G60" s="84">
        <f t="shared" si="5"/>
        <v>-29300.01</v>
      </c>
      <c r="H60" s="30">
        <v>30000</v>
      </c>
      <c r="J60" s="237"/>
    </row>
    <row r="61" spans="1:10" x14ac:dyDescent="0.2">
      <c r="A61" s="461"/>
      <c r="B61" s="11" t="s">
        <v>50</v>
      </c>
      <c r="C61" s="30"/>
      <c r="D61" s="139"/>
      <c r="E61" s="105">
        <f>'Maint Detail'!E15</f>
        <v>34125</v>
      </c>
      <c r="F61" s="30">
        <v>1200</v>
      </c>
      <c r="G61" s="84">
        <f>E61-H61</f>
        <v>32925</v>
      </c>
      <c r="H61" s="30">
        <v>1200</v>
      </c>
      <c r="J61" s="237"/>
    </row>
    <row r="62" spans="1:10" x14ac:dyDescent="0.2">
      <c r="A62" s="461"/>
      <c r="B62" s="11" t="s">
        <v>144</v>
      </c>
      <c r="C62" s="30"/>
      <c r="D62" s="139"/>
      <c r="E62" s="105">
        <f>'Maint Detail'!E10</f>
        <v>0</v>
      </c>
      <c r="F62" s="30">
        <v>40000</v>
      </c>
      <c r="G62" s="84">
        <f>E62-H62</f>
        <v>-40000</v>
      </c>
      <c r="H62" s="30">
        <v>40000</v>
      </c>
      <c r="J62" s="237"/>
    </row>
    <row r="63" spans="1:10" x14ac:dyDescent="0.2">
      <c r="A63" s="461"/>
      <c r="B63" s="11" t="s">
        <v>307</v>
      </c>
      <c r="C63" s="30" t="e">
        <f>'Maint Detail'!#REF!</f>
        <v>#REF!</v>
      </c>
      <c r="D63" s="139" t="e">
        <f>'Maint Detail'!#REF!+'Maint Detail'!#REF!+'Maint Detail'!#REF!</f>
        <v>#REF!</v>
      </c>
      <c r="E63" s="105">
        <f>'Maint Detail'!E20</f>
        <v>0</v>
      </c>
      <c r="F63" s="30">
        <v>6000</v>
      </c>
      <c r="G63" s="84">
        <f t="shared" ref="G63" si="6">E63-H63</f>
        <v>-6000</v>
      </c>
      <c r="H63" s="30">
        <v>6000</v>
      </c>
      <c r="J63" s="237"/>
    </row>
    <row r="64" spans="1:10" x14ac:dyDescent="0.2">
      <c r="A64" s="461"/>
      <c r="B64" s="11"/>
      <c r="C64" s="30"/>
      <c r="D64" s="139"/>
      <c r="E64" s="105"/>
      <c r="F64" s="30"/>
      <c r="G64" s="84"/>
      <c r="H64" s="30"/>
      <c r="J64" s="237"/>
    </row>
    <row r="65" spans="1:10" ht="13.5" thickBot="1" x14ac:dyDescent="0.25">
      <c r="A65" s="462"/>
      <c r="B65" s="28" t="s">
        <v>49</v>
      </c>
      <c r="C65" s="65" t="e">
        <f t="shared" ref="C65:H65" si="7">SUM(C54:C64)</f>
        <v>#REF!</v>
      </c>
      <c r="D65" s="57" t="e">
        <f t="shared" si="7"/>
        <v>#REF!</v>
      </c>
      <c r="E65" s="57">
        <f t="shared" si="7"/>
        <v>441646.97000000003</v>
      </c>
      <c r="F65" s="57">
        <f t="shared" si="7"/>
        <v>719006</v>
      </c>
      <c r="G65" s="57">
        <f t="shared" si="7"/>
        <v>-277359.02999999997</v>
      </c>
      <c r="H65" s="57">
        <f t="shared" si="7"/>
        <v>719006</v>
      </c>
      <c r="J65" s="237"/>
    </row>
    <row r="66" spans="1:10" ht="7.5" customHeight="1" thickTop="1" x14ac:dyDescent="0.2">
      <c r="A66" s="192"/>
      <c r="B66" s="187"/>
      <c r="C66" s="187"/>
      <c r="D66" s="187"/>
      <c r="E66" s="187"/>
      <c r="F66" s="187"/>
      <c r="G66" s="187"/>
      <c r="H66" s="187"/>
      <c r="J66" s="237"/>
    </row>
    <row r="67" spans="1:10" ht="26.25" customHeight="1" x14ac:dyDescent="0.2">
      <c r="A67" s="59"/>
      <c r="B67" s="5" t="s">
        <v>44</v>
      </c>
      <c r="C67" s="50" t="s">
        <v>126</v>
      </c>
      <c r="D67" s="50" t="s">
        <v>211</v>
      </c>
      <c r="E67" s="50" t="s">
        <v>413</v>
      </c>
      <c r="F67" s="50" t="s">
        <v>390</v>
      </c>
      <c r="G67" s="50" t="s">
        <v>282</v>
      </c>
      <c r="H67" s="50" t="s">
        <v>391</v>
      </c>
      <c r="J67" s="237"/>
    </row>
    <row r="68" spans="1:10" x14ac:dyDescent="0.2">
      <c r="A68" s="456" t="s">
        <v>5</v>
      </c>
      <c r="B68" s="112" t="s">
        <v>145</v>
      </c>
      <c r="C68" s="34">
        <v>59431</v>
      </c>
      <c r="D68" s="200">
        <f>267+31549</f>
        <v>31816</v>
      </c>
      <c r="E68" s="96">
        <f>56164.85+24232</f>
        <v>80396.850000000006</v>
      </c>
      <c r="F68" s="96">
        <v>79500</v>
      </c>
      <c r="G68" s="84">
        <f>E68-H68</f>
        <v>896.85000000000582</v>
      </c>
      <c r="H68" s="96">
        <v>79500</v>
      </c>
      <c r="I68" s="233"/>
      <c r="J68" s="237"/>
    </row>
    <row r="69" spans="1:10" x14ac:dyDescent="0.2">
      <c r="A69" s="456"/>
      <c r="B69" s="112" t="s">
        <v>146</v>
      </c>
      <c r="C69" s="34">
        <v>28197</v>
      </c>
      <c r="D69" s="152">
        <v>19791</v>
      </c>
      <c r="E69" s="97">
        <v>28877</v>
      </c>
      <c r="F69" s="97">
        <v>13000</v>
      </c>
      <c r="G69" s="84">
        <f t="shared" ref="G69:G75" si="8">E69-H69</f>
        <v>15877</v>
      </c>
      <c r="H69" s="97">
        <v>13000</v>
      </c>
      <c r="I69" s="233"/>
      <c r="J69" s="237"/>
    </row>
    <row r="70" spans="1:10" x14ac:dyDescent="0.2">
      <c r="A70" s="456"/>
      <c r="B70" s="11" t="s">
        <v>388</v>
      </c>
      <c r="C70" s="34"/>
      <c r="D70" s="152"/>
      <c r="E70" s="97">
        <v>14576.95</v>
      </c>
      <c r="F70" s="97">
        <v>0</v>
      </c>
      <c r="G70" s="84">
        <f t="shared" si="8"/>
        <v>14576.95</v>
      </c>
      <c r="H70" s="97">
        <v>0</v>
      </c>
      <c r="I70" s="233"/>
      <c r="J70" s="237"/>
    </row>
    <row r="71" spans="1:10" x14ac:dyDescent="0.2">
      <c r="A71" s="456"/>
      <c r="B71" s="112" t="s">
        <v>387</v>
      </c>
      <c r="C71" s="34"/>
      <c r="D71" s="152"/>
      <c r="E71" s="97">
        <v>3335</v>
      </c>
      <c r="F71" s="97">
        <v>0</v>
      </c>
      <c r="G71" s="84">
        <f t="shared" si="8"/>
        <v>3335</v>
      </c>
      <c r="H71" s="97">
        <v>0</v>
      </c>
      <c r="I71" s="233"/>
    </row>
    <row r="72" spans="1:10" x14ac:dyDescent="0.2">
      <c r="A72" s="456"/>
      <c r="B72" s="11" t="s">
        <v>85</v>
      </c>
      <c r="C72" s="34">
        <v>12781</v>
      </c>
      <c r="D72" s="152"/>
      <c r="E72" s="97"/>
      <c r="F72" s="97">
        <v>0</v>
      </c>
      <c r="G72" s="84">
        <f t="shared" si="8"/>
        <v>0</v>
      </c>
      <c r="H72" s="97">
        <v>0</v>
      </c>
      <c r="I72" s="233"/>
    </row>
    <row r="73" spans="1:10" x14ac:dyDescent="0.2">
      <c r="A73" s="456"/>
      <c r="B73" s="11" t="s">
        <v>308</v>
      </c>
      <c r="C73" s="34"/>
      <c r="D73" s="89"/>
      <c r="E73" s="481">
        <v>2312</v>
      </c>
      <c r="F73" s="97">
        <v>2500</v>
      </c>
      <c r="G73" s="84">
        <f t="shared" si="8"/>
        <v>-188</v>
      </c>
      <c r="H73" s="97">
        <v>2500</v>
      </c>
      <c r="I73" s="233"/>
    </row>
    <row r="74" spans="1:10" x14ac:dyDescent="0.2">
      <c r="A74" s="456"/>
      <c r="B74" s="11" t="s">
        <v>294</v>
      </c>
      <c r="C74" s="30"/>
      <c r="D74" s="138">
        <v>736</v>
      </c>
      <c r="E74" s="97"/>
      <c r="F74" s="97">
        <v>0</v>
      </c>
      <c r="G74" s="84">
        <f t="shared" si="8"/>
        <v>0</v>
      </c>
      <c r="H74" s="97">
        <v>0</v>
      </c>
      <c r="I74" s="233"/>
    </row>
    <row r="75" spans="1:10" x14ac:dyDescent="0.2">
      <c r="A75" s="456"/>
      <c r="B75" s="11" t="s">
        <v>400</v>
      </c>
      <c r="C75" s="32">
        <f>336+1495</f>
        <v>1831</v>
      </c>
      <c r="D75" s="201">
        <f>675+996</f>
        <v>1671</v>
      </c>
      <c r="E75" s="169">
        <f>427+181</f>
        <v>608</v>
      </c>
      <c r="F75" s="169">
        <v>3000</v>
      </c>
      <c r="G75" s="84">
        <f t="shared" si="8"/>
        <v>-2392</v>
      </c>
      <c r="H75" s="169">
        <v>3000</v>
      </c>
      <c r="I75" s="233"/>
    </row>
    <row r="76" spans="1:10" ht="13.5" thickBot="1" x14ac:dyDescent="0.25">
      <c r="A76" s="457"/>
      <c r="B76" s="28" t="s">
        <v>70</v>
      </c>
      <c r="C76" s="65">
        <f t="shared" ref="C76:H76" si="9">SUM(C68:C75)</f>
        <v>102240</v>
      </c>
      <c r="D76" s="57">
        <f t="shared" si="9"/>
        <v>54014</v>
      </c>
      <c r="E76" s="57">
        <f t="shared" si="9"/>
        <v>130105.8</v>
      </c>
      <c r="F76" s="57">
        <f t="shared" si="9"/>
        <v>98000</v>
      </c>
      <c r="G76" s="57">
        <f t="shared" si="9"/>
        <v>32105.800000000003</v>
      </c>
      <c r="H76" s="57">
        <f t="shared" si="9"/>
        <v>98000</v>
      </c>
    </row>
    <row r="77" spans="1:10" ht="7.5" customHeight="1" thickTop="1" x14ac:dyDescent="0.2">
      <c r="A77" s="193"/>
      <c r="B77" s="132"/>
      <c r="C77" s="188"/>
      <c r="D77" s="188"/>
      <c r="E77" s="132"/>
      <c r="F77" s="240"/>
      <c r="G77" s="188"/>
      <c r="H77" s="132"/>
    </row>
    <row r="78" spans="1:10" ht="26.25" customHeight="1" x14ac:dyDescent="0.2">
      <c r="A78" s="59"/>
      <c r="B78" s="5" t="s">
        <v>44</v>
      </c>
      <c r="C78" s="50" t="s">
        <v>126</v>
      </c>
      <c r="D78" s="50" t="s">
        <v>211</v>
      </c>
      <c r="E78" s="50" t="s">
        <v>413</v>
      </c>
      <c r="F78" s="50" t="s">
        <v>390</v>
      </c>
      <c r="G78" s="50" t="s">
        <v>282</v>
      </c>
      <c r="H78" s="50" t="s">
        <v>391</v>
      </c>
    </row>
    <row r="79" spans="1:10" x14ac:dyDescent="0.2">
      <c r="A79" s="458" t="s">
        <v>103</v>
      </c>
      <c r="B79" s="112" t="s">
        <v>147</v>
      </c>
      <c r="C79" s="34">
        <v>1250</v>
      </c>
      <c r="D79" s="152">
        <v>0</v>
      </c>
      <c r="E79" s="97"/>
      <c r="F79" s="97">
        <v>1500</v>
      </c>
      <c r="G79" s="84">
        <v>0</v>
      </c>
      <c r="H79" s="97">
        <v>1500</v>
      </c>
      <c r="I79" s="233"/>
    </row>
    <row r="80" spans="1:10" x14ac:dyDescent="0.2">
      <c r="A80" s="458"/>
      <c r="B80" s="11" t="s">
        <v>145</v>
      </c>
      <c r="C80" s="30">
        <v>13627</v>
      </c>
      <c r="D80" s="152">
        <v>13576</v>
      </c>
      <c r="E80" s="97">
        <v>109771</v>
      </c>
      <c r="F80" s="97">
        <v>25000</v>
      </c>
      <c r="G80" s="84">
        <f>E80-F80</f>
        <v>84771</v>
      </c>
      <c r="H80" s="97">
        <v>25000</v>
      </c>
      <c r="I80" s="233"/>
    </row>
    <row r="81" spans="1:9" x14ac:dyDescent="0.2">
      <c r="A81" s="458"/>
      <c r="B81" s="11" t="s">
        <v>85</v>
      </c>
      <c r="C81" s="30"/>
      <c r="D81" s="152"/>
      <c r="E81" s="97"/>
      <c r="F81" s="97">
        <v>0</v>
      </c>
      <c r="G81" s="84">
        <v>0</v>
      </c>
      <c r="H81" s="97">
        <v>0</v>
      </c>
      <c r="I81" s="233"/>
    </row>
    <row r="82" spans="1:9" x14ac:dyDescent="0.2">
      <c r="A82" s="458"/>
      <c r="B82" s="113" t="s">
        <v>148</v>
      </c>
      <c r="C82" s="32"/>
      <c r="D82" s="152"/>
      <c r="E82" s="97">
        <v>0</v>
      </c>
      <c r="F82" s="97">
        <v>500</v>
      </c>
      <c r="G82" s="84">
        <f>E82-F82</f>
        <v>-500</v>
      </c>
      <c r="H82" s="97">
        <v>500</v>
      </c>
      <c r="I82" s="233"/>
    </row>
    <row r="83" spans="1:9" ht="13.5" thickBot="1" x14ac:dyDescent="0.25">
      <c r="A83" s="459"/>
      <c r="B83" s="28" t="s">
        <v>71</v>
      </c>
      <c r="C83" s="65">
        <f t="shared" ref="C83:H83" si="10">SUM(C79:C82)</f>
        <v>14877</v>
      </c>
      <c r="D83" s="57">
        <f t="shared" si="10"/>
        <v>13576</v>
      </c>
      <c r="E83" s="57">
        <f t="shared" si="10"/>
        <v>109771</v>
      </c>
      <c r="F83" s="57">
        <f t="shared" si="10"/>
        <v>27000</v>
      </c>
      <c r="G83" s="57">
        <f t="shared" si="10"/>
        <v>84271</v>
      </c>
      <c r="H83" s="57">
        <f t="shared" si="10"/>
        <v>27000</v>
      </c>
    </row>
    <row r="84" spans="1:9" ht="7.5" customHeight="1" thickTop="1" x14ac:dyDescent="0.25">
      <c r="A84" s="193"/>
      <c r="B84" s="132"/>
      <c r="C84" s="189"/>
      <c r="D84" s="189"/>
      <c r="E84" s="188"/>
      <c r="F84" s="188"/>
      <c r="G84" s="189"/>
      <c r="H84" s="188"/>
    </row>
    <row r="85" spans="1:9" ht="26.25" customHeight="1" x14ac:dyDescent="0.2">
      <c r="A85" s="59"/>
      <c r="B85" s="5" t="s">
        <v>44</v>
      </c>
      <c r="C85" s="50" t="s">
        <v>126</v>
      </c>
      <c r="D85" s="50" t="s">
        <v>211</v>
      </c>
      <c r="E85" s="50" t="s">
        <v>413</v>
      </c>
      <c r="F85" s="50" t="s">
        <v>390</v>
      </c>
      <c r="G85" s="50" t="s">
        <v>282</v>
      </c>
      <c r="H85" s="50" t="s">
        <v>391</v>
      </c>
    </row>
    <row r="86" spans="1:9" x14ac:dyDescent="0.2">
      <c r="A86" s="439" t="s">
        <v>21</v>
      </c>
      <c r="B86" s="13" t="s">
        <v>62</v>
      </c>
      <c r="C86" s="29">
        <v>88877</v>
      </c>
      <c r="D86" s="138">
        <f>80536+3755</f>
        <v>84291</v>
      </c>
      <c r="E86" s="97">
        <f>152707+68766</f>
        <v>221473</v>
      </c>
      <c r="F86" s="97">
        <v>123321</v>
      </c>
      <c r="G86" s="84">
        <f>E86-H86</f>
        <v>98152</v>
      </c>
      <c r="H86" s="97">
        <v>123321</v>
      </c>
      <c r="I86" s="233"/>
    </row>
    <row r="87" spans="1:9" x14ac:dyDescent="0.2">
      <c r="A87" s="439"/>
      <c r="B87" s="11" t="s">
        <v>149</v>
      </c>
      <c r="C87" s="30">
        <v>15862</v>
      </c>
      <c r="D87" s="138"/>
      <c r="E87" s="97"/>
      <c r="F87" s="97">
        <v>37500</v>
      </c>
      <c r="G87" s="84">
        <f t="shared" ref="G87:G92" si="11">E87-H87</f>
        <v>-37500</v>
      </c>
      <c r="H87" s="97">
        <v>37500</v>
      </c>
      <c r="I87" s="233"/>
    </row>
    <row r="88" spans="1:9" x14ac:dyDescent="0.2">
      <c r="A88" s="439"/>
      <c r="B88" s="11" t="s">
        <v>150</v>
      </c>
      <c r="C88" s="30">
        <v>410</v>
      </c>
      <c r="D88" s="138">
        <v>1262</v>
      </c>
      <c r="E88" s="97">
        <v>7068</v>
      </c>
      <c r="F88" s="97">
        <v>2500</v>
      </c>
      <c r="G88" s="84">
        <f t="shared" si="11"/>
        <v>4568</v>
      </c>
      <c r="H88" s="97">
        <v>2500</v>
      </c>
      <c r="I88" s="233"/>
    </row>
    <row r="89" spans="1:9" x14ac:dyDescent="0.2">
      <c r="A89" s="439"/>
      <c r="B89" s="11" t="s">
        <v>291</v>
      </c>
      <c r="C89" s="30"/>
      <c r="D89" s="138"/>
      <c r="E89" s="97">
        <v>4379</v>
      </c>
      <c r="F89" s="97">
        <v>0</v>
      </c>
      <c r="G89" s="84">
        <f t="shared" si="11"/>
        <v>4379</v>
      </c>
      <c r="H89" s="97">
        <v>0</v>
      </c>
      <c r="I89" s="233"/>
    </row>
    <row r="90" spans="1:9" x14ac:dyDescent="0.2">
      <c r="A90" s="439"/>
      <c r="B90" s="11" t="s">
        <v>276</v>
      </c>
      <c r="C90" s="30"/>
      <c r="D90" s="138">
        <v>193</v>
      </c>
      <c r="E90" s="97"/>
      <c r="F90" s="97">
        <v>0</v>
      </c>
      <c r="G90" s="84">
        <f t="shared" si="11"/>
        <v>0</v>
      </c>
      <c r="H90" s="97">
        <v>0</v>
      </c>
      <c r="I90" s="233"/>
    </row>
    <row r="91" spans="1:9" x14ac:dyDescent="0.2">
      <c r="A91" s="439"/>
      <c r="B91" s="203" t="s">
        <v>201</v>
      </c>
      <c r="C91" s="204"/>
      <c r="D91" s="138">
        <f>633+357</f>
        <v>990</v>
      </c>
      <c r="E91" s="97">
        <v>3105</v>
      </c>
      <c r="F91" s="97">
        <v>0</v>
      </c>
      <c r="G91" s="84">
        <f t="shared" si="11"/>
        <v>3105</v>
      </c>
      <c r="H91" s="97">
        <v>0</v>
      </c>
      <c r="I91" s="233"/>
    </row>
    <row r="92" spans="1:9" x14ac:dyDescent="0.2">
      <c r="A92" s="439"/>
      <c r="B92" s="203" t="s">
        <v>16</v>
      </c>
      <c r="C92" s="204"/>
      <c r="D92" s="138"/>
      <c r="E92" s="97">
        <v>223.63</v>
      </c>
      <c r="F92" s="97">
        <v>0</v>
      </c>
      <c r="G92" s="84">
        <f t="shared" si="11"/>
        <v>223.63</v>
      </c>
      <c r="H92" s="97">
        <v>0</v>
      </c>
      <c r="I92" s="233"/>
    </row>
    <row r="93" spans="1:9" ht="13.5" thickBot="1" x14ac:dyDescent="0.25">
      <c r="A93" s="440"/>
      <c r="B93" s="28" t="s">
        <v>72</v>
      </c>
      <c r="C93" s="65">
        <f t="shared" ref="C93:H93" si="12">SUM(C86:C92)</f>
        <v>105149</v>
      </c>
      <c r="D93" s="57">
        <f t="shared" si="12"/>
        <v>86736</v>
      </c>
      <c r="E93" s="57">
        <f t="shared" si="12"/>
        <v>236248.63</v>
      </c>
      <c r="F93" s="57">
        <f t="shared" si="12"/>
        <v>163321</v>
      </c>
      <c r="G93" s="57">
        <f t="shared" si="12"/>
        <v>72927.63</v>
      </c>
      <c r="H93" s="57">
        <f t="shared" si="12"/>
        <v>163321</v>
      </c>
    </row>
    <row r="94" spans="1:9" ht="7.5" customHeight="1" thickTop="1" x14ac:dyDescent="0.25">
      <c r="A94" s="192"/>
      <c r="B94" s="187"/>
      <c r="C94" s="189"/>
      <c r="D94" s="189"/>
      <c r="E94" s="187"/>
      <c r="F94" s="187"/>
      <c r="G94" s="189"/>
      <c r="H94" s="187"/>
    </row>
    <row r="95" spans="1:9" ht="26.25" customHeight="1" x14ac:dyDescent="0.2">
      <c r="A95" s="453" t="s">
        <v>77</v>
      </c>
      <c r="B95" s="5" t="s">
        <v>44</v>
      </c>
      <c r="C95" s="50" t="s">
        <v>126</v>
      </c>
      <c r="D95" s="50" t="s">
        <v>211</v>
      </c>
      <c r="E95" s="50" t="s">
        <v>413</v>
      </c>
      <c r="F95" s="50" t="s">
        <v>390</v>
      </c>
      <c r="G95" s="50" t="s">
        <v>282</v>
      </c>
      <c r="H95" s="50" t="s">
        <v>391</v>
      </c>
    </row>
    <row r="96" spans="1:9" x14ac:dyDescent="0.2">
      <c r="A96" s="454"/>
      <c r="B96" s="117" t="s">
        <v>154</v>
      </c>
      <c r="C96" s="49">
        <v>1000</v>
      </c>
      <c r="D96" s="89"/>
      <c r="E96" s="49"/>
      <c r="F96" s="49">
        <v>30000</v>
      </c>
      <c r="G96" s="84">
        <f>E96-H96</f>
        <v>-30000</v>
      </c>
      <c r="H96" s="49">
        <v>30000</v>
      </c>
      <c r="I96" s="233"/>
    </row>
    <row r="97" spans="1:9" x14ac:dyDescent="0.2">
      <c r="A97" s="454"/>
      <c r="B97" s="118" t="s">
        <v>155</v>
      </c>
      <c r="C97" s="30">
        <v>0</v>
      </c>
      <c r="D97" s="88">
        <v>12129</v>
      </c>
      <c r="E97" s="35"/>
      <c r="F97" s="35">
        <v>5000</v>
      </c>
      <c r="G97" s="84">
        <f t="shared" ref="G97:G100" si="13">E97-H97</f>
        <v>-5000</v>
      </c>
      <c r="H97" s="35">
        <v>5000</v>
      </c>
      <c r="I97" s="233"/>
    </row>
    <row r="98" spans="1:9" x14ac:dyDescent="0.2">
      <c r="A98" s="454"/>
      <c r="B98" s="421" t="s">
        <v>112</v>
      </c>
      <c r="C98" s="204"/>
      <c r="D98" s="422"/>
      <c r="E98" s="423"/>
      <c r="F98" s="423">
        <v>0</v>
      </c>
      <c r="G98" s="84">
        <f t="shared" si="13"/>
        <v>0</v>
      </c>
      <c r="H98" s="423"/>
      <c r="I98" s="233"/>
    </row>
    <row r="99" spans="1:9" x14ac:dyDescent="0.2">
      <c r="A99" s="454"/>
      <c r="B99" s="115" t="s">
        <v>394</v>
      </c>
      <c r="C99" s="32">
        <v>16954</v>
      </c>
      <c r="D99" s="167">
        <v>17886</v>
      </c>
      <c r="E99" s="81">
        <v>4555</v>
      </c>
      <c r="F99" s="81">
        <v>0</v>
      </c>
      <c r="G99" s="84">
        <f t="shared" si="13"/>
        <v>4555</v>
      </c>
      <c r="H99" s="81">
        <v>0</v>
      </c>
      <c r="I99" s="233"/>
    </row>
    <row r="100" spans="1:9" ht="13.5" thickBot="1" x14ac:dyDescent="0.25">
      <c r="A100" s="454"/>
      <c r="B100" s="60" t="s">
        <v>157</v>
      </c>
      <c r="C100" s="61">
        <f>SUM(C96:C99)</f>
        <v>17954</v>
      </c>
      <c r="D100" s="61">
        <f>SUM(D96:D99)</f>
        <v>30015</v>
      </c>
      <c r="E100" s="61">
        <f>SUM(E96:E99)</f>
        <v>4555</v>
      </c>
      <c r="F100" s="61">
        <f>SUM(F96:F99)</f>
        <v>35000</v>
      </c>
      <c r="G100" s="61">
        <f t="shared" si="13"/>
        <v>-30445</v>
      </c>
      <c r="H100" s="61">
        <f>SUM(H96:H99)</f>
        <v>35000</v>
      </c>
    </row>
    <row r="101" spans="1:9" x14ac:dyDescent="0.2">
      <c r="A101" s="454"/>
      <c r="B101" s="117" t="s">
        <v>158</v>
      </c>
      <c r="C101" s="53">
        <v>5000</v>
      </c>
      <c r="D101" s="168">
        <v>30250</v>
      </c>
      <c r="E101" s="53">
        <v>75000</v>
      </c>
      <c r="F101" s="53">
        <v>35000</v>
      </c>
      <c r="G101" s="84">
        <f>H101-F101+SUM(F101-E101)</f>
        <v>-15000</v>
      </c>
      <c r="H101" s="53">
        <v>60000</v>
      </c>
      <c r="I101" s="233"/>
    </row>
    <row r="102" spans="1:9" ht="12" customHeight="1" x14ac:dyDescent="0.2">
      <c r="A102" s="454"/>
      <c r="B102" s="118" t="s">
        <v>156</v>
      </c>
      <c r="C102" s="30">
        <v>3494</v>
      </c>
      <c r="D102" s="88">
        <v>2241</v>
      </c>
      <c r="E102" s="35">
        <v>5294.52</v>
      </c>
      <c r="F102" s="35">
        <v>0</v>
      </c>
      <c r="G102" s="84">
        <f t="shared" ref="G102:G104" si="14">H102-F102+SUM(F102-E102)</f>
        <v>-294.52000000000044</v>
      </c>
      <c r="H102" s="35">
        <v>5000</v>
      </c>
      <c r="I102" s="233"/>
    </row>
    <row r="103" spans="1:9" ht="12" customHeight="1" x14ac:dyDescent="0.2">
      <c r="A103" s="454"/>
      <c r="B103" s="421" t="s">
        <v>399</v>
      </c>
      <c r="C103" s="204"/>
      <c r="D103" s="422"/>
      <c r="E103" s="423">
        <v>10288.6</v>
      </c>
      <c r="F103" s="423">
        <v>0</v>
      </c>
      <c r="G103" s="84">
        <f t="shared" si="14"/>
        <v>-10288.6</v>
      </c>
      <c r="H103" s="423">
        <v>0</v>
      </c>
      <c r="I103" s="233"/>
    </row>
    <row r="104" spans="1:9" x14ac:dyDescent="0.2">
      <c r="A104" s="454"/>
      <c r="B104" s="115" t="s">
        <v>394</v>
      </c>
      <c r="C104" s="32">
        <v>18523</v>
      </c>
      <c r="D104" s="167">
        <v>15760</v>
      </c>
      <c r="E104" s="81">
        <f>1019.83+107.98+5482.2</f>
        <v>6610.01</v>
      </c>
      <c r="F104" s="81">
        <v>0</v>
      </c>
      <c r="G104" s="84">
        <f t="shared" si="14"/>
        <v>-6610.01</v>
      </c>
      <c r="H104" s="81">
        <f>H99</f>
        <v>0</v>
      </c>
      <c r="I104" s="233"/>
    </row>
    <row r="105" spans="1:9" x14ac:dyDescent="0.2">
      <c r="A105" s="454"/>
      <c r="B105" s="429" t="s">
        <v>112</v>
      </c>
      <c r="C105" s="201"/>
      <c r="D105" s="430"/>
      <c r="E105" s="430">
        <f>6593+14486.14+54923.83</f>
        <v>76002.97</v>
      </c>
      <c r="F105" s="430">
        <v>0</v>
      </c>
      <c r="G105" s="84">
        <f t="shared" ref="G105" si="15">H105-F105+SUM(F105-E105)</f>
        <v>-76002.97</v>
      </c>
      <c r="H105" s="81">
        <v>0</v>
      </c>
      <c r="I105" s="233"/>
    </row>
    <row r="106" spans="1:9" ht="13.5" thickBot="1" x14ac:dyDescent="0.25">
      <c r="A106" s="455"/>
      <c r="B106" s="60" t="s">
        <v>159</v>
      </c>
      <c r="C106" s="62">
        <f t="shared" ref="C106:H106" si="16">SUM(C101:C104)</f>
        <v>27017</v>
      </c>
      <c r="D106" s="119">
        <f t="shared" si="16"/>
        <v>48251</v>
      </c>
      <c r="E106" s="62">
        <f t="shared" si="16"/>
        <v>97193.13</v>
      </c>
      <c r="F106" s="62">
        <f>SUM(F101:F105)</f>
        <v>35000</v>
      </c>
      <c r="G106" s="62">
        <f t="shared" si="16"/>
        <v>-32193.130000000005</v>
      </c>
      <c r="H106" s="57">
        <f t="shared" si="16"/>
        <v>65000</v>
      </c>
    </row>
    <row r="107" spans="1:9" ht="7.5" customHeight="1" x14ac:dyDescent="0.25">
      <c r="A107" s="192"/>
      <c r="B107" s="187"/>
      <c r="C107" s="189"/>
      <c r="D107" s="189"/>
      <c r="E107" s="187"/>
      <c r="F107" s="238"/>
      <c r="G107" s="189"/>
      <c r="H107" s="187"/>
    </row>
  </sheetData>
  <mergeCells count="9">
    <mergeCell ref="A95:A106"/>
    <mergeCell ref="A1:I1"/>
    <mergeCell ref="A86:A93"/>
    <mergeCell ref="A68:A76"/>
    <mergeCell ref="A79:A83"/>
    <mergeCell ref="A4:A16"/>
    <mergeCell ref="A18:A39"/>
    <mergeCell ref="A41:A50"/>
    <mergeCell ref="A53:A65"/>
  </mergeCells>
  <phoneticPr fontId="37" type="noConversion"/>
  <printOptions horizontalCentered="1"/>
  <pageMargins left="0" right="0" top="0" bottom="0" header="0.5" footer="0"/>
  <pageSetup fitToHeight="0" orientation="portrait" verticalDpi="300" r:id="rId1"/>
  <headerFooter alignWithMargins="0">
    <oddHeader xml:space="preserve">&amp;RPrint Date: &amp;D   </oddHeader>
    <oddFooter>Page &amp;P&amp;RFY25  December 2024 Report to Council</oddFooter>
  </headerFooter>
  <rowBreaks count="1" manualBreakCount="1">
    <brk id="5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I43"/>
  <sheetViews>
    <sheetView zoomScaleNormal="100" workbookViewId="0">
      <selection activeCell="H18" sqref="H18"/>
    </sheetView>
  </sheetViews>
  <sheetFormatPr defaultRowHeight="12.75" x14ac:dyDescent="0.2"/>
  <cols>
    <col min="1" max="1" width="8" style="3" customWidth="1"/>
    <col min="2" max="2" width="25.7109375" style="2" bestFit="1" customWidth="1"/>
    <col min="3" max="3" width="13.85546875" style="2" hidden="1" customWidth="1"/>
    <col min="4" max="4" width="15" style="15" hidden="1" customWidth="1"/>
    <col min="5" max="5" width="15" style="15" customWidth="1"/>
    <col min="6" max="6" width="15" style="21" customWidth="1"/>
    <col min="7" max="7" width="12.7109375" style="21" customWidth="1"/>
    <col min="8" max="8" width="13.140625" style="2" customWidth="1"/>
    <col min="9" max="9" width="12.85546875" style="2" bestFit="1" customWidth="1"/>
    <col min="10" max="16384" width="9.140625" style="2"/>
  </cols>
  <sheetData>
    <row r="1" spans="1:9" ht="20.25" customHeight="1" x14ac:dyDescent="0.2">
      <c r="A1" s="432" t="s">
        <v>445</v>
      </c>
      <c r="B1" s="432"/>
      <c r="C1" s="432"/>
      <c r="D1" s="432"/>
      <c r="E1" s="432"/>
      <c r="F1" s="432"/>
      <c r="G1" s="432"/>
      <c r="H1" s="432"/>
      <c r="I1" s="432"/>
    </row>
    <row r="2" spans="1:9" ht="20.25" customHeight="1" x14ac:dyDescent="0.2">
      <c r="A2" s="263"/>
      <c r="B2" s="263"/>
      <c r="C2" s="263"/>
      <c r="D2" s="263"/>
      <c r="E2" s="263"/>
      <c r="F2" s="263"/>
      <c r="G2" s="263"/>
      <c r="H2" s="263"/>
      <c r="I2" s="263"/>
    </row>
    <row r="3" spans="1:9" ht="35.25" customHeight="1" x14ac:dyDescent="0.2">
      <c r="A3" s="278"/>
      <c r="B3" s="263"/>
      <c r="C3" s="263"/>
      <c r="D3" s="263"/>
      <c r="E3" s="50" t="s">
        <v>413</v>
      </c>
      <c r="F3" s="50" t="s">
        <v>390</v>
      </c>
      <c r="G3" s="50" t="s">
        <v>282</v>
      </c>
      <c r="H3" s="50" t="s">
        <v>391</v>
      </c>
      <c r="I3" s="263"/>
    </row>
    <row r="4" spans="1:9" ht="15" customHeight="1" x14ac:dyDescent="0.2">
      <c r="A4" s="287"/>
      <c r="B4" s="274" t="s">
        <v>63</v>
      </c>
      <c r="C4" s="271" t="e">
        <f>GamDetail!#REF!</f>
        <v>#REF!</v>
      </c>
      <c r="D4" s="102">
        <f>GamDetail!D10-GamDetail!D8</f>
        <v>1557710</v>
      </c>
      <c r="E4" s="102">
        <f>GamDetail!D10</f>
        <v>1557710</v>
      </c>
      <c r="F4" s="102">
        <v>1253000</v>
      </c>
      <c r="G4" s="102">
        <f>E4-H4</f>
        <v>304710</v>
      </c>
      <c r="H4" s="102">
        <v>1253000</v>
      </c>
      <c r="I4" s="63"/>
    </row>
    <row r="5" spans="1:9" customFormat="1" ht="15" customHeight="1" x14ac:dyDescent="0.2">
      <c r="A5" s="194"/>
      <c r="B5" s="265"/>
      <c r="C5" s="266"/>
      <c r="D5" s="266"/>
      <c r="E5" s="267"/>
      <c r="F5" s="267"/>
      <c r="G5" s="268"/>
      <c r="H5" s="267"/>
    </row>
    <row r="6" spans="1:9" ht="15" customHeight="1" x14ac:dyDescent="0.2">
      <c r="A6" s="464" t="s">
        <v>30</v>
      </c>
      <c r="B6" s="7" t="s">
        <v>64</v>
      </c>
      <c r="C6" s="90" t="e">
        <f>GamDetail!#REF!+GamDetail!#REF!+GamDetail!#REF!+GamDetail!#REF!</f>
        <v>#REF!</v>
      </c>
      <c r="D6" s="202">
        <f>GamDetail!D13+GamDetail!D14+GamDetail!D15+GamDetail!D16</f>
        <v>21124.620000000003</v>
      </c>
      <c r="E6" s="279">
        <f>SUM(GamDetail!D13:D14,GamDetail!D23:D24)</f>
        <v>131734.22</v>
      </c>
      <c r="F6" s="220">
        <v>127117</v>
      </c>
      <c r="G6" s="145">
        <f>E6-F6</f>
        <v>4617.2200000000012</v>
      </c>
      <c r="H6" s="220">
        <v>127117</v>
      </c>
    </row>
    <row r="7" spans="1:9" ht="15" customHeight="1" x14ac:dyDescent="0.2">
      <c r="A7" s="465"/>
      <c r="B7" s="6" t="s">
        <v>16</v>
      </c>
      <c r="C7" s="91" t="e">
        <f>GamDetail!#REF!+GamDetail!#REF!+GamDetail!#REF!+GamDetail!#REF!+GamDetail!#REF!</f>
        <v>#REF!</v>
      </c>
      <c r="D7" s="170">
        <f>GamDetail!D17+GamDetail!D18+GamDetail!D19+GamDetail!D20+GamDetail!D21</f>
        <v>177227.53</v>
      </c>
      <c r="E7" s="280">
        <f>SUM(GamDetail!D16,GamDetail!D26)</f>
        <v>525.4</v>
      </c>
      <c r="F7" s="143">
        <v>35000</v>
      </c>
      <c r="G7" s="145">
        <f>E7-F7</f>
        <v>-34474.6</v>
      </c>
      <c r="H7" s="143">
        <v>35000</v>
      </c>
    </row>
    <row r="8" spans="1:9" ht="15" customHeight="1" x14ac:dyDescent="0.2">
      <c r="A8" s="465"/>
      <c r="B8" s="110" t="s">
        <v>203</v>
      </c>
      <c r="C8" s="91"/>
      <c r="D8" s="170"/>
      <c r="E8" s="280">
        <f>SUM(GamDetail!D25+GamDetail!D40)</f>
        <v>0</v>
      </c>
      <c r="F8" s="143">
        <v>0</v>
      </c>
      <c r="G8" s="145">
        <f>E8-F8</f>
        <v>0</v>
      </c>
      <c r="H8" s="143">
        <v>0</v>
      </c>
    </row>
    <row r="9" spans="1:9" ht="15" customHeight="1" x14ac:dyDescent="0.2">
      <c r="A9" s="465"/>
      <c r="B9" s="110" t="s">
        <v>196</v>
      </c>
      <c r="C9" s="91"/>
      <c r="D9" s="170">
        <v>100</v>
      </c>
      <c r="E9" s="280">
        <f>SUM(GamDetail!D38)</f>
        <v>400</v>
      </c>
      <c r="F9" s="143">
        <v>500</v>
      </c>
      <c r="G9" s="145">
        <f t="shared" ref="G9:G14" si="0">E9-F9</f>
        <v>-100</v>
      </c>
      <c r="H9" s="143">
        <v>500</v>
      </c>
    </row>
    <row r="10" spans="1:9" ht="15" customHeight="1" x14ac:dyDescent="0.2">
      <c r="A10" s="465"/>
      <c r="B10" s="6" t="s">
        <v>65</v>
      </c>
      <c r="C10" s="91" t="e">
        <f>GamDetail!#REF!</f>
        <v>#REF!</v>
      </c>
      <c r="D10" s="170">
        <f>GamDetail!D23</f>
        <v>80013</v>
      </c>
      <c r="E10" s="280">
        <f>SUM(GamDetail!D15)</f>
        <v>0</v>
      </c>
      <c r="F10" s="143">
        <v>54811</v>
      </c>
      <c r="G10" s="145">
        <f t="shared" si="0"/>
        <v>-54811</v>
      </c>
      <c r="H10" s="143">
        <v>54811</v>
      </c>
    </row>
    <row r="11" spans="1:9" ht="15" customHeight="1" x14ac:dyDescent="0.2">
      <c r="A11" s="465"/>
      <c r="B11" s="6" t="s">
        <v>274</v>
      </c>
      <c r="C11" s="91" t="e">
        <f>GamDetail!#REF!+GamDetail!#REF!</f>
        <v>#REF!</v>
      </c>
      <c r="D11" s="170">
        <f>GamDetail!D25+GamDetail!D26</f>
        <v>228</v>
      </c>
      <c r="E11" s="280">
        <f>SUM(GamDetail!D17,GamDetail!D28:D29)</f>
        <v>1200559</v>
      </c>
      <c r="F11" s="143">
        <v>843800</v>
      </c>
      <c r="G11" s="145">
        <f t="shared" si="0"/>
        <v>356759</v>
      </c>
      <c r="H11" s="143">
        <v>843800</v>
      </c>
      <c r="I11" s="63"/>
    </row>
    <row r="12" spans="1:9" ht="15" customHeight="1" x14ac:dyDescent="0.2">
      <c r="A12" s="465"/>
      <c r="B12" s="110" t="s">
        <v>61</v>
      </c>
      <c r="C12" s="91"/>
      <c r="D12" s="170">
        <f>GamDetail!D28</f>
        <v>789169</v>
      </c>
      <c r="E12" s="280">
        <f>SUM(GamDetail!D36)</f>
        <v>13743</v>
      </c>
      <c r="F12" s="143">
        <v>2672</v>
      </c>
      <c r="G12" s="145">
        <f t="shared" si="0"/>
        <v>11071</v>
      </c>
      <c r="H12" s="143">
        <v>2672</v>
      </c>
      <c r="I12" s="63"/>
    </row>
    <row r="13" spans="1:9" ht="15" customHeight="1" x14ac:dyDescent="0.2">
      <c r="A13" s="465"/>
      <c r="B13" s="6" t="s">
        <v>275</v>
      </c>
      <c r="C13" s="91" t="e">
        <f>GamDetail!#REF!+GamDetail!#REF!</f>
        <v>#REF!</v>
      </c>
      <c r="D13" s="170">
        <f>GamDetail!D27</f>
        <v>301</v>
      </c>
      <c r="E13" s="280">
        <f>GamDetail!D34+GamDetail!D37+GamDetail!D20</f>
        <v>3388.7799999999997</v>
      </c>
      <c r="F13" s="143">
        <v>12100</v>
      </c>
      <c r="G13" s="145">
        <f t="shared" si="0"/>
        <v>-8711.2200000000012</v>
      </c>
      <c r="H13" s="143">
        <v>12100</v>
      </c>
    </row>
    <row r="14" spans="1:9" ht="15" customHeight="1" x14ac:dyDescent="0.2">
      <c r="A14" s="465"/>
      <c r="B14" s="6" t="s">
        <v>273</v>
      </c>
      <c r="C14" s="91" t="e">
        <f>GamDetail!#REF!</f>
        <v>#REF!</v>
      </c>
      <c r="D14" s="170">
        <f>GamDetail!D29</f>
        <v>243497</v>
      </c>
      <c r="E14" s="280">
        <f>SUM(GamDetail!D31:D32)</f>
        <v>12987</v>
      </c>
      <c r="F14" s="143">
        <v>10000</v>
      </c>
      <c r="G14" s="145">
        <f t="shared" si="0"/>
        <v>2987</v>
      </c>
      <c r="H14" s="143">
        <v>10000</v>
      </c>
    </row>
    <row r="15" spans="1:9" ht="15" customHeight="1" x14ac:dyDescent="0.2">
      <c r="A15" s="465"/>
      <c r="B15" s="110" t="s">
        <v>309</v>
      </c>
      <c r="C15" s="91"/>
      <c r="D15" s="170"/>
      <c r="E15" s="280">
        <f>SUM(GamDetail!D27)</f>
        <v>301</v>
      </c>
      <c r="F15" s="143">
        <v>0</v>
      </c>
      <c r="G15" s="145">
        <f>E15-F15</f>
        <v>301</v>
      </c>
      <c r="H15" s="143">
        <v>0</v>
      </c>
    </row>
    <row r="16" spans="1:9" ht="15" customHeight="1" x14ac:dyDescent="0.2">
      <c r="A16" s="465"/>
      <c r="B16" s="110" t="s">
        <v>230</v>
      </c>
      <c r="C16" s="91"/>
      <c r="D16" s="170"/>
      <c r="E16" s="280">
        <f>SUM(GamDetail!D18,GamDetail!D30)</f>
        <v>61579</v>
      </c>
      <c r="F16" s="143">
        <v>0</v>
      </c>
      <c r="G16" s="145">
        <f>E16-F16</f>
        <v>61579</v>
      </c>
      <c r="H16" s="143">
        <v>0</v>
      </c>
    </row>
    <row r="17" spans="1:8" ht="15" customHeight="1" x14ac:dyDescent="0.2">
      <c r="A17" s="465"/>
      <c r="B17" s="110" t="s">
        <v>151</v>
      </c>
      <c r="C17" s="91" t="e">
        <f>GamDetail!#REF!</f>
        <v>#REF!</v>
      </c>
      <c r="D17" s="170">
        <f>GamDetail!D38+GamDetail!D24</f>
        <v>31294</v>
      </c>
      <c r="E17" s="280">
        <f>SUM(GamDetail!D19,GamDetail!D33)</f>
        <v>3851.75</v>
      </c>
      <c r="F17" s="143">
        <v>0</v>
      </c>
      <c r="G17" s="145">
        <f>E17-F17</f>
        <v>3851.75</v>
      </c>
      <c r="H17" s="143">
        <v>0</v>
      </c>
    </row>
    <row r="18" spans="1:8" ht="15" customHeight="1" x14ac:dyDescent="0.2">
      <c r="A18" s="465"/>
      <c r="B18" s="110" t="s">
        <v>152</v>
      </c>
      <c r="C18" s="91" t="e">
        <f>GamDetail!#REF!</f>
        <v>#REF!</v>
      </c>
      <c r="D18" s="170">
        <f>GamDetail!D39</f>
        <v>170000</v>
      </c>
      <c r="E18" s="280">
        <f>SUM(GamDetail!D39)</f>
        <v>170000</v>
      </c>
      <c r="F18" s="143">
        <v>125000</v>
      </c>
      <c r="G18" s="145">
        <f>E18-F18</f>
        <v>45000</v>
      </c>
      <c r="H18" s="143">
        <f>125000-35000</f>
        <v>90000</v>
      </c>
    </row>
    <row r="19" spans="1:8" ht="15" customHeight="1" x14ac:dyDescent="0.2">
      <c r="A19" s="465"/>
      <c r="B19" s="116" t="s">
        <v>110</v>
      </c>
      <c r="C19" s="91" t="e">
        <f>GamDetail!#REF!</f>
        <v>#REF!</v>
      </c>
      <c r="D19" s="170">
        <f>GamDetail!D40</f>
        <v>0</v>
      </c>
      <c r="E19" s="280">
        <v>0</v>
      </c>
      <c r="F19" s="143">
        <v>5000</v>
      </c>
      <c r="G19" s="145">
        <f>E19-F19</f>
        <v>-5000</v>
      </c>
      <c r="H19" s="143">
        <v>5000</v>
      </c>
    </row>
    <row r="20" spans="1:8" ht="15" customHeight="1" x14ac:dyDescent="0.2">
      <c r="A20" s="465"/>
      <c r="B20" s="114" t="s">
        <v>153</v>
      </c>
      <c r="C20" s="92" t="e">
        <f>GamDetail!#REF!</f>
        <v>#REF!</v>
      </c>
      <c r="D20" s="171">
        <f>GamDetail!D41</f>
        <v>0</v>
      </c>
      <c r="E20" s="221">
        <v>0</v>
      </c>
      <c r="F20" s="221">
        <v>30000</v>
      </c>
      <c r="G20" s="145">
        <f t="shared" ref="G20" si="1">E20-F20</f>
        <v>-30000</v>
      </c>
      <c r="H20" s="221">
        <v>65000</v>
      </c>
    </row>
    <row r="21" spans="1:8" ht="15" customHeight="1" thickBot="1" x14ac:dyDescent="0.25">
      <c r="A21" s="466"/>
      <c r="B21" s="8" t="s">
        <v>271</v>
      </c>
      <c r="C21" s="82" t="e">
        <f t="shared" ref="C21:H21" si="2">SUM(C6:C20)</f>
        <v>#REF!</v>
      </c>
      <c r="D21" s="82">
        <f t="shared" si="2"/>
        <v>1512954.15</v>
      </c>
      <c r="E21" s="222">
        <f t="shared" si="2"/>
        <v>1599069.1500000001</v>
      </c>
      <c r="F21" s="222">
        <f t="shared" si="2"/>
        <v>1246000</v>
      </c>
      <c r="G21" s="222">
        <f t="shared" si="2"/>
        <v>353069.15</v>
      </c>
      <c r="H21" s="222">
        <f t="shared" si="2"/>
        <v>1246000</v>
      </c>
    </row>
    <row r="22" spans="1:8" ht="13.5" thickTop="1" x14ac:dyDescent="0.2">
      <c r="C22" s="33"/>
      <c r="D22" s="36"/>
      <c r="E22" s="78"/>
      <c r="F22" s="109"/>
      <c r="G22" s="85"/>
    </row>
    <row r="23" spans="1:8" ht="13.5" thickBot="1" x14ac:dyDescent="0.25">
      <c r="A23" s="4"/>
      <c r="B23" s="224" t="s">
        <v>272</v>
      </c>
      <c r="C23" s="33"/>
      <c r="D23" s="36"/>
      <c r="E23" s="225">
        <f>E4-E21</f>
        <v>-41359.15000000014</v>
      </c>
      <c r="F23" s="109"/>
      <c r="G23" s="85"/>
      <c r="H23" s="225">
        <f>H4-H21</f>
        <v>7000</v>
      </c>
    </row>
    <row r="24" spans="1:8" ht="13.5" thickTop="1" x14ac:dyDescent="0.2">
      <c r="A24" s="4"/>
      <c r="B24" s="4"/>
      <c r="C24" s="93"/>
      <c r="D24" s="33"/>
      <c r="E24" s="109"/>
      <c r="F24" s="33"/>
      <c r="G24" s="85"/>
    </row>
    <row r="25" spans="1:8" x14ac:dyDescent="0.2">
      <c r="C25" s="33"/>
      <c r="D25" s="33"/>
      <c r="E25" s="109"/>
      <c r="F25" s="33"/>
      <c r="G25" s="85"/>
    </row>
    <row r="26" spans="1:8" x14ac:dyDescent="0.2">
      <c r="C26" s="33"/>
      <c r="D26" s="33"/>
      <c r="E26" s="109"/>
      <c r="F26" s="33"/>
      <c r="G26" s="78"/>
    </row>
    <row r="27" spans="1:8" x14ac:dyDescent="0.2">
      <c r="C27" s="33"/>
      <c r="D27" s="25"/>
      <c r="E27" s="109">
        <f>E21-GamDetail!D43</f>
        <v>0</v>
      </c>
      <c r="F27" s="78"/>
      <c r="G27" s="78"/>
    </row>
    <row r="28" spans="1:8" x14ac:dyDescent="0.2">
      <c r="C28" s="33"/>
      <c r="D28" s="25"/>
      <c r="E28" s="109"/>
      <c r="F28" s="78"/>
      <c r="G28" s="78"/>
    </row>
    <row r="29" spans="1:8" x14ac:dyDescent="0.2">
      <c r="C29" s="33"/>
      <c r="D29" s="25"/>
      <c r="E29" s="109"/>
      <c r="F29" s="78"/>
      <c r="G29" s="78"/>
    </row>
    <row r="30" spans="1:8" x14ac:dyDescent="0.2">
      <c r="C30" s="33"/>
      <c r="D30" s="25"/>
      <c r="E30" s="109"/>
      <c r="F30" s="78"/>
      <c r="G30" s="33"/>
    </row>
    <row r="31" spans="1:8" x14ac:dyDescent="0.2">
      <c r="C31" s="33"/>
      <c r="D31" s="25"/>
      <c r="E31" s="36"/>
      <c r="F31" s="78"/>
      <c r="G31" s="78"/>
    </row>
    <row r="32" spans="1:8" x14ac:dyDescent="0.2">
      <c r="C32" s="33"/>
      <c r="D32" s="25"/>
      <c r="E32" s="25"/>
      <c r="F32" s="78"/>
      <c r="G32" s="78"/>
    </row>
    <row r="33" spans="3:7" x14ac:dyDescent="0.2">
      <c r="C33" s="33"/>
      <c r="D33" s="25"/>
      <c r="E33" s="25"/>
      <c r="F33" s="78"/>
      <c r="G33" s="78"/>
    </row>
    <row r="34" spans="3:7" x14ac:dyDescent="0.2">
      <c r="C34" s="33"/>
      <c r="D34" s="25"/>
      <c r="E34" s="25"/>
      <c r="F34" s="78"/>
      <c r="G34" s="78"/>
    </row>
    <row r="35" spans="3:7" x14ac:dyDescent="0.2">
      <c r="C35" s="33"/>
      <c r="D35" s="25"/>
      <c r="E35" s="25"/>
      <c r="F35" s="78"/>
      <c r="G35" s="78"/>
    </row>
    <row r="36" spans="3:7" x14ac:dyDescent="0.2">
      <c r="C36" s="33"/>
      <c r="D36" s="25"/>
      <c r="E36" s="25"/>
      <c r="F36" s="78"/>
      <c r="G36" s="78"/>
    </row>
    <row r="37" spans="3:7" x14ac:dyDescent="0.2">
      <c r="C37" s="33"/>
      <c r="D37" s="25"/>
      <c r="E37" s="25"/>
      <c r="F37" s="78"/>
      <c r="G37" s="78"/>
    </row>
    <row r="38" spans="3:7" x14ac:dyDescent="0.2">
      <c r="C38" s="33"/>
      <c r="D38" s="25"/>
      <c r="E38" s="25"/>
      <c r="F38" s="78"/>
      <c r="G38" s="78"/>
    </row>
    <row r="39" spans="3:7" x14ac:dyDescent="0.2">
      <c r="C39" s="33"/>
      <c r="D39" s="25"/>
      <c r="E39" s="25"/>
      <c r="F39" s="78"/>
      <c r="G39" s="78"/>
    </row>
    <row r="40" spans="3:7" x14ac:dyDescent="0.2">
      <c r="C40" s="33"/>
      <c r="D40" s="25"/>
      <c r="E40" s="25"/>
      <c r="F40" s="78"/>
      <c r="G40" s="78"/>
    </row>
    <row r="41" spans="3:7" x14ac:dyDescent="0.2">
      <c r="C41" s="33"/>
      <c r="D41" s="25"/>
      <c r="E41" s="25"/>
      <c r="F41" s="78"/>
      <c r="G41" s="78"/>
    </row>
    <row r="42" spans="3:7" x14ac:dyDescent="0.2">
      <c r="C42" s="33"/>
      <c r="D42" s="25"/>
      <c r="E42" s="25"/>
      <c r="F42" s="78"/>
      <c r="G42" s="78"/>
    </row>
    <row r="43" spans="3:7" x14ac:dyDescent="0.2">
      <c r="C43" s="33"/>
      <c r="D43" s="25"/>
      <c r="E43" s="25"/>
      <c r="F43" s="78"/>
      <c r="G43" s="78"/>
    </row>
  </sheetData>
  <mergeCells count="2">
    <mergeCell ref="A1:I1"/>
    <mergeCell ref="A6:A21"/>
  </mergeCells>
  <phoneticPr fontId="37" type="noConversion"/>
  <printOptions horizontalCentered="1"/>
  <pageMargins left="0" right="0" top="0" bottom="0" header="0.5" footer="0"/>
  <pageSetup fitToHeight="0" orientation="portrait" verticalDpi="300" r:id="rId1"/>
  <headerFooter alignWithMargins="0">
    <oddHeader xml:space="preserve">&amp;RPrint Date: &amp;D   </oddHeader>
    <oddFooter>Page &amp;P&amp;RFY25  December 2024 Report to Council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O59"/>
  <sheetViews>
    <sheetView workbookViewId="0">
      <pane xSplit="1" ySplit="3" topLeftCell="B36" activePane="bottomRight" state="frozen"/>
      <selection sqref="A1:I1"/>
      <selection pane="topRight" sqref="A1:I1"/>
      <selection pane="bottomLeft" sqref="A1:I1"/>
      <selection pane="bottomRight" activeCell="J55" sqref="J55"/>
    </sheetView>
  </sheetViews>
  <sheetFormatPr defaultRowHeight="12.75" x14ac:dyDescent="0.2"/>
  <cols>
    <col min="1" max="1" width="8" style="2" customWidth="1"/>
    <col min="2" max="2" width="15.5703125" style="2" customWidth="1"/>
    <col min="3" max="3" width="46.28515625" style="12" customWidth="1"/>
    <col min="4" max="4" width="13.7109375" style="12" hidden="1" customWidth="1"/>
    <col min="5" max="5" width="15" style="2" customWidth="1"/>
    <col min="6" max="6" width="14.42578125" style="2" customWidth="1"/>
    <col min="7" max="7" width="12.85546875" style="2" customWidth="1"/>
    <col min="8" max="8" width="11.28515625" style="2" bestFit="1" customWidth="1"/>
    <col min="9" max="9" width="13.5703125" style="2" customWidth="1"/>
    <col min="10" max="10" width="39.7109375" style="2" customWidth="1"/>
    <col min="11" max="11" width="12.85546875" style="233" hidden="1" customWidth="1"/>
    <col min="12" max="14" width="0" style="2" hidden="1" customWidth="1"/>
    <col min="15" max="15" width="13.5703125" style="15" bestFit="1" customWidth="1"/>
    <col min="16" max="16384" width="9.140625" style="2"/>
  </cols>
  <sheetData>
    <row r="1" spans="1:15" ht="17.25" customHeight="1" x14ac:dyDescent="0.2">
      <c r="A1" s="471" t="s">
        <v>398</v>
      </c>
      <c r="B1" s="471"/>
      <c r="C1" s="471"/>
      <c r="D1" s="471"/>
      <c r="E1" s="471"/>
      <c r="F1" s="471"/>
    </row>
    <row r="2" spans="1:15" s="9" customFormat="1" ht="21.75" customHeight="1" thickBot="1" x14ac:dyDescent="0.25">
      <c r="A2" s="472" t="s">
        <v>40</v>
      </c>
      <c r="B2" s="472"/>
      <c r="C2" s="472"/>
      <c r="D2" s="472"/>
      <c r="E2" s="472"/>
      <c r="F2" s="472"/>
      <c r="K2" s="419"/>
      <c r="O2" s="484"/>
    </row>
    <row r="3" spans="1:15" s="1" customFormat="1" ht="24" customHeight="1" thickBot="1" x14ac:dyDescent="0.25">
      <c r="A3" s="315"/>
      <c r="B3" s="316" t="s">
        <v>43</v>
      </c>
      <c r="C3" s="317" t="s">
        <v>44</v>
      </c>
      <c r="D3" s="305" t="s">
        <v>211</v>
      </c>
      <c r="E3" s="50" t="s">
        <v>413</v>
      </c>
      <c r="F3" s="50" t="s">
        <v>390</v>
      </c>
      <c r="G3" s="50" t="s">
        <v>282</v>
      </c>
      <c r="H3" s="50" t="s">
        <v>391</v>
      </c>
      <c r="K3" s="431"/>
      <c r="O3" s="485"/>
    </row>
    <row r="4" spans="1:15" ht="15" customHeight="1" x14ac:dyDescent="0.2">
      <c r="A4" s="469" t="s">
        <v>23</v>
      </c>
      <c r="B4" s="375" t="s">
        <v>380</v>
      </c>
      <c r="C4" s="376" t="s">
        <v>407</v>
      </c>
      <c r="D4" s="377">
        <v>500000</v>
      </c>
      <c r="E4" s="378">
        <v>1777258.46</v>
      </c>
      <c r="F4" s="379">
        <v>675000</v>
      </c>
      <c r="G4" s="367">
        <f t="shared" ref="G4:G5" si="0">E4-H4</f>
        <v>1102258.46</v>
      </c>
      <c r="H4" s="378">
        <v>675000</v>
      </c>
      <c r="I4" s="232"/>
    </row>
    <row r="5" spans="1:15" x14ac:dyDescent="0.2">
      <c r="A5" s="470"/>
      <c r="B5" s="366" t="s">
        <v>235</v>
      </c>
      <c r="C5" s="361" t="s">
        <v>245</v>
      </c>
      <c r="D5" s="362"/>
      <c r="E5" s="363"/>
      <c r="F5" s="367">
        <v>0</v>
      </c>
      <c r="G5" s="367">
        <f t="shared" si="0"/>
        <v>0</v>
      </c>
      <c r="H5" s="363">
        <v>0</v>
      </c>
      <c r="I5" s="232"/>
    </row>
    <row r="6" spans="1:15" x14ac:dyDescent="0.2">
      <c r="A6" s="470"/>
      <c r="B6" s="366" t="s">
        <v>236</v>
      </c>
      <c r="C6" s="361" t="s">
        <v>179</v>
      </c>
      <c r="D6" s="362">
        <v>100692</v>
      </c>
      <c r="E6" s="363">
        <v>312269</v>
      </c>
      <c r="F6" s="364">
        <v>500000</v>
      </c>
      <c r="G6" s="367">
        <f>E6-H6</f>
        <v>-252731</v>
      </c>
      <c r="H6" s="363">
        <v>565000</v>
      </c>
      <c r="I6" s="232"/>
    </row>
    <row r="7" spans="1:15" x14ac:dyDescent="0.2">
      <c r="A7" s="470"/>
      <c r="B7" s="366" t="s">
        <v>237</v>
      </c>
      <c r="C7" s="361" t="s">
        <v>46</v>
      </c>
      <c r="D7" s="362">
        <v>0</v>
      </c>
      <c r="E7" s="363">
        <v>0</v>
      </c>
      <c r="F7" s="364"/>
      <c r="G7" s="367">
        <f t="shared" ref="G7:G41" si="1">E7-H7</f>
        <v>0</v>
      </c>
      <c r="H7" s="363">
        <v>0</v>
      </c>
      <c r="I7" s="232"/>
    </row>
    <row r="8" spans="1:15" ht="15" customHeight="1" x14ac:dyDescent="0.2">
      <c r="A8" s="470"/>
      <c r="B8" s="366" t="s">
        <v>238</v>
      </c>
      <c r="C8" s="361" t="s">
        <v>48</v>
      </c>
      <c r="D8" s="362">
        <v>68593</v>
      </c>
      <c r="E8" s="363">
        <v>165539</v>
      </c>
      <c r="F8" s="364">
        <v>100000</v>
      </c>
      <c r="G8" s="367">
        <f t="shared" si="1"/>
        <v>65539</v>
      </c>
      <c r="H8" s="363">
        <v>100000</v>
      </c>
      <c r="I8" s="232"/>
    </row>
    <row r="9" spans="1:15" x14ac:dyDescent="0.2">
      <c r="A9" s="470"/>
      <c r="B9" s="366" t="s">
        <v>239</v>
      </c>
      <c r="C9" s="368" t="s">
        <v>31</v>
      </c>
      <c r="D9" s="362">
        <v>168785</v>
      </c>
      <c r="E9" s="363">
        <v>1305</v>
      </c>
      <c r="F9" s="364">
        <v>100000</v>
      </c>
      <c r="G9" s="367">
        <f t="shared" si="1"/>
        <v>-98695</v>
      </c>
      <c r="H9" s="363">
        <v>100000</v>
      </c>
      <c r="I9" s="232"/>
      <c r="J9" s="86"/>
    </row>
    <row r="10" spans="1:15" x14ac:dyDescent="0.2">
      <c r="A10" s="470"/>
      <c r="B10" s="360" t="s">
        <v>371</v>
      </c>
      <c r="C10" s="369" t="s">
        <v>361</v>
      </c>
      <c r="D10" s="362"/>
      <c r="E10" s="363">
        <v>371497</v>
      </c>
      <c r="F10" s="367">
        <v>0</v>
      </c>
      <c r="G10" s="367">
        <f t="shared" si="1"/>
        <v>271497</v>
      </c>
      <c r="H10" s="363">
        <v>100000</v>
      </c>
      <c r="I10" s="232"/>
      <c r="J10" s="86"/>
    </row>
    <row r="11" spans="1:15" x14ac:dyDescent="0.2">
      <c r="A11" s="470"/>
      <c r="B11" s="360" t="s">
        <v>240</v>
      </c>
      <c r="C11" s="369" t="s">
        <v>406</v>
      </c>
      <c r="D11" s="362"/>
      <c r="E11" s="363">
        <v>600</v>
      </c>
      <c r="F11" s="367">
        <v>0</v>
      </c>
      <c r="G11" s="367">
        <f>E11-F11</f>
        <v>600</v>
      </c>
      <c r="H11" s="363">
        <v>0</v>
      </c>
      <c r="I11" s="232"/>
      <c r="J11" s="86"/>
    </row>
    <row r="12" spans="1:15" x14ac:dyDescent="0.2">
      <c r="A12" s="470"/>
      <c r="B12" s="366" t="s">
        <v>256</v>
      </c>
      <c r="C12" s="368" t="s">
        <v>257</v>
      </c>
      <c r="D12" s="362">
        <v>36000</v>
      </c>
      <c r="E12" s="363">
        <v>151102</v>
      </c>
      <c r="F12" s="364">
        <v>150000</v>
      </c>
      <c r="G12" s="367">
        <f t="shared" si="1"/>
        <v>51102</v>
      </c>
      <c r="H12" s="363">
        <v>100000</v>
      </c>
      <c r="I12" s="232"/>
      <c r="J12" s="86"/>
    </row>
    <row r="13" spans="1:15" x14ac:dyDescent="0.2">
      <c r="A13" s="470"/>
      <c r="B13" s="366" t="s">
        <v>244</v>
      </c>
      <c r="C13" s="361" t="s">
        <v>47</v>
      </c>
      <c r="D13" s="362">
        <v>23654</v>
      </c>
      <c r="E13" s="363">
        <v>13985</v>
      </c>
      <c r="F13" s="364">
        <v>35000</v>
      </c>
      <c r="G13" s="367">
        <f t="shared" si="1"/>
        <v>-21015</v>
      </c>
      <c r="H13" s="363">
        <v>35000</v>
      </c>
      <c r="I13" s="232"/>
      <c r="J13" s="86"/>
    </row>
    <row r="14" spans="1:15" x14ac:dyDescent="0.2">
      <c r="A14" s="470"/>
      <c r="B14" s="366" t="s">
        <v>250</v>
      </c>
      <c r="C14" s="361" t="s">
        <v>178</v>
      </c>
      <c r="D14" s="362">
        <v>83925</v>
      </c>
      <c r="E14" s="363">
        <v>37100</v>
      </c>
      <c r="F14" s="367">
        <v>0</v>
      </c>
      <c r="G14" s="367">
        <f t="shared" si="1"/>
        <v>37100</v>
      </c>
      <c r="H14" s="363">
        <v>0</v>
      </c>
      <c r="I14" s="232"/>
      <c r="J14" s="86"/>
    </row>
    <row r="15" spans="1:15" x14ac:dyDescent="0.2">
      <c r="A15" s="470"/>
      <c r="B15" s="366" t="s">
        <v>254</v>
      </c>
      <c r="C15" s="361" t="s">
        <v>255</v>
      </c>
      <c r="D15" s="362">
        <v>695</v>
      </c>
      <c r="E15" s="363"/>
      <c r="F15" s="367">
        <v>0</v>
      </c>
      <c r="G15" s="367">
        <f t="shared" si="1"/>
        <v>0</v>
      </c>
      <c r="H15" s="363">
        <v>0</v>
      </c>
      <c r="I15" s="232"/>
      <c r="J15" s="86"/>
    </row>
    <row r="16" spans="1:15" x14ac:dyDescent="0.2">
      <c r="A16" s="470"/>
      <c r="B16" s="366" t="s">
        <v>313</v>
      </c>
      <c r="C16" s="361" t="s">
        <v>180</v>
      </c>
      <c r="D16" s="362"/>
      <c r="E16" s="363">
        <v>23283</v>
      </c>
      <c r="F16" s="367">
        <v>0</v>
      </c>
      <c r="G16" s="367">
        <f t="shared" si="1"/>
        <v>23283</v>
      </c>
      <c r="H16" s="363">
        <v>0</v>
      </c>
      <c r="I16" s="232"/>
      <c r="J16" s="86"/>
    </row>
    <row r="17" spans="1:10" x14ac:dyDescent="0.2">
      <c r="A17" s="470"/>
      <c r="B17" s="2" t="s">
        <v>397</v>
      </c>
      <c r="C17" s="361" t="s">
        <v>12</v>
      </c>
      <c r="D17" s="362">
        <v>1983</v>
      </c>
      <c r="E17" s="363">
        <v>0</v>
      </c>
      <c r="F17" s="367">
        <v>0</v>
      </c>
      <c r="G17" s="367">
        <f t="shared" si="1"/>
        <v>0</v>
      </c>
      <c r="H17" s="363">
        <v>0</v>
      </c>
      <c r="I17" s="232"/>
      <c r="J17" s="86"/>
    </row>
    <row r="18" spans="1:10" x14ac:dyDescent="0.2">
      <c r="A18" s="470"/>
      <c r="B18" s="366" t="s">
        <v>249</v>
      </c>
      <c r="C18" s="361" t="s">
        <v>181</v>
      </c>
      <c r="D18" s="362">
        <v>38725</v>
      </c>
      <c r="E18" s="363">
        <v>26850</v>
      </c>
      <c r="F18" s="364">
        <v>120500</v>
      </c>
      <c r="G18" s="367">
        <f t="shared" si="1"/>
        <v>-13650</v>
      </c>
      <c r="H18" s="363">
        <v>40500</v>
      </c>
      <c r="I18" s="232"/>
      <c r="J18" s="86"/>
    </row>
    <row r="19" spans="1:10" x14ac:dyDescent="0.2">
      <c r="A19" s="470"/>
      <c r="B19" s="366" t="s">
        <v>241</v>
      </c>
      <c r="C19" s="361" t="s">
        <v>182</v>
      </c>
      <c r="D19" s="362">
        <v>50300</v>
      </c>
      <c r="E19" s="363">
        <v>17600</v>
      </c>
      <c r="F19" s="364">
        <v>173000</v>
      </c>
      <c r="G19" s="367">
        <f t="shared" si="1"/>
        <v>-15400</v>
      </c>
      <c r="H19" s="363">
        <v>33000</v>
      </c>
      <c r="I19" s="232"/>
      <c r="J19" s="229"/>
    </row>
    <row r="20" spans="1:10" x14ac:dyDescent="0.2">
      <c r="A20" s="470"/>
      <c r="B20" s="366" t="s">
        <v>242</v>
      </c>
      <c r="C20" s="361" t="s">
        <v>183</v>
      </c>
      <c r="D20" s="362">
        <v>450</v>
      </c>
      <c r="E20" s="363"/>
      <c r="F20" s="367"/>
      <c r="G20" s="367">
        <f t="shared" si="1"/>
        <v>0</v>
      </c>
      <c r="H20" s="363"/>
      <c r="I20" s="232"/>
      <c r="J20" s="86"/>
    </row>
    <row r="21" spans="1:10" x14ac:dyDescent="0.2">
      <c r="A21" s="470"/>
      <c r="B21" s="360" t="s">
        <v>349</v>
      </c>
      <c r="C21" s="361" t="s">
        <v>184</v>
      </c>
      <c r="D21" s="362">
        <v>16870</v>
      </c>
      <c r="E21" s="363">
        <v>3250</v>
      </c>
      <c r="F21" s="367">
        <v>0</v>
      </c>
      <c r="G21" s="367">
        <f t="shared" si="1"/>
        <v>-96750</v>
      </c>
      <c r="H21" s="363">
        <v>100000</v>
      </c>
      <c r="I21" s="232"/>
      <c r="J21" s="86"/>
    </row>
    <row r="22" spans="1:10" x14ac:dyDescent="0.2">
      <c r="A22" s="470"/>
      <c r="B22" s="360" t="s">
        <v>376</v>
      </c>
      <c r="C22" s="369" t="s">
        <v>258</v>
      </c>
      <c r="D22" s="362"/>
      <c r="E22" s="363"/>
      <c r="F22" s="367">
        <v>0</v>
      </c>
      <c r="G22" s="367">
        <f t="shared" si="1"/>
        <v>0</v>
      </c>
      <c r="H22" s="363">
        <v>0</v>
      </c>
      <c r="I22" s="232"/>
      <c r="J22" s="86"/>
    </row>
    <row r="23" spans="1:10" ht="15" customHeight="1" x14ac:dyDescent="0.2">
      <c r="A23" s="470"/>
      <c r="B23" s="366" t="s">
        <v>247</v>
      </c>
      <c r="C23" s="361" t="s">
        <v>185</v>
      </c>
      <c r="D23" s="362">
        <v>22772</v>
      </c>
      <c r="E23" s="363"/>
      <c r="F23" s="367">
        <v>0</v>
      </c>
      <c r="G23" s="367">
        <f t="shared" si="1"/>
        <v>0</v>
      </c>
      <c r="H23" s="363">
        <v>0</v>
      </c>
      <c r="I23" s="232"/>
      <c r="J23" s="86"/>
    </row>
    <row r="24" spans="1:10" x14ac:dyDescent="0.2">
      <c r="A24" s="470"/>
      <c r="B24" s="344" t="s">
        <v>264</v>
      </c>
      <c r="C24" s="370" t="s">
        <v>189</v>
      </c>
      <c r="D24" s="365">
        <v>3280</v>
      </c>
      <c r="E24" s="363">
        <v>3435</v>
      </c>
      <c r="F24" s="367">
        <v>0</v>
      </c>
      <c r="G24" s="367">
        <f t="shared" si="1"/>
        <v>3435</v>
      </c>
      <c r="H24" s="363">
        <v>0</v>
      </c>
      <c r="I24" s="232"/>
      <c r="J24" s="86"/>
    </row>
    <row r="25" spans="1:10" x14ac:dyDescent="0.2">
      <c r="A25" s="470"/>
      <c r="B25" s="344" t="s">
        <v>317</v>
      </c>
      <c r="C25" s="370" t="s">
        <v>318</v>
      </c>
      <c r="D25" s="365"/>
      <c r="E25" s="363"/>
      <c r="F25" s="367">
        <v>0</v>
      </c>
      <c r="G25" s="367">
        <f t="shared" si="1"/>
        <v>0</v>
      </c>
      <c r="H25" s="363">
        <v>0</v>
      </c>
      <c r="I25" s="232"/>
      <c r="J25" s="86"/>
    </row>
    <row r="26" spans="1:10" x14ac:dyDescent="0.2">
      <c r="A26" s="470"/>
      <c r="B26" s="344" t="s">
        <v>314</v>
      </c>
      <c r="C26" s="370" t="s">
        <v>210</v>
      </c>
      <c r="D26" s="365">
        <v>16231</v>
      </c>
      <c r="E26" s="363">
        <v>3599</v>
      </c>
      <c r="F26" s="364">
        <v>10000</v>
      </c>
      <c r="G26" s="367">
        <f t="shared" si="1"/>
        <v>-6401</v>
      </c>
      <c r="H26" s="363">
        <v>10000</v>
      </c>
      <c r="I26" s="232"/>
      <c r="J26" s="86"/>
    </row>
    <row r="27" spans="1:10" x14ac:dyDescent="0.2">
      <c r="A27" s="470"/>
      <c r="B27" s="344" t="s">
        <v>251</v>
      </c>
      <c r="C27" s="370" t="s">
        <v>55</v>
      </c>
      <c r="D27" s="365">
        <v>350</v>
      </c>
      <c r="E27" s="363">
        <v>700</v>
      </c>
      <c r="F27" s="367">
        <v>0</v>
      </c>
      <c r="G27" s="367">
        <f t="shared" si="1"/>
        <v>700</v>
      </c>
      <c r="H27" s="363">
        <v>0</v>
      </c>
      <c r="I27" s="232"/>
      <c r="J27" s="229"/>
    </row>
    <row r="28" spans="1:10" x14ac:dyDescent="0.2">
      <c r="A28" s="470"/>
      <c r="B28" s="344" t="s">
        <v>284</v>
      </c>
      <c r="C28" s="370" t="s">
        <v>285</v>
      </c>
      <c r="D28" s="365"/>
      <c r="E28" s="363">
        <v>2463</v>
      </c>
      <c r="F28" s="364">
        <v>1500</v>
      </c>
      <c r="G28" s="367">
        <f t="shared" si="1"/>
        <v>963</v>
      </c>
      <c r="H28" s="363">
        <v>1500</v>
      </c>
      <c r="I28" s="232"/>
      <c r="J28" s="229"/>
    </row>
    <row r="29" spans="1:10" x14ac:dyDescent="0.2">
      <c r="A29" s="470"/>
      <c r="B29" s="344"/>
      <c r="C29" s="370" t="s">
        <v>14</v>
      </c>
      <c r="D29" s="365">
        <v>60968</v>
      </c>
      <c r="E29" s="363"/>
      <c r="F29" s="371">
        <v>100000</v>
      </c>
      <c r="G29" s="367">
        <f t="shared" si="1"/>
        <v>-90000</v>
      </c>
      <c r="H29" s="363">
        <f>GamDetail!H39</f>
        <v>90000</v>
      </c>
      <c r="I29" s="232"/>
      <c r="J29" s="229"/>
    </row>
    <row r="30" spans="1:10" x14ac:dyDescent="0.2">
      <c r="A30" s="470"/>
      <c r="B30" s="344" t="s">
        <v>248</v>
      </c>
      <c r="C30" s="370" t="s">
        <v>186</v>
      </c>
      <c r="D30" s="365">
        <v>36212</v>
      </c>
      <c r="E30" s="363">
        <v>51603</v>
      </c>
      <c r="F30" s="364">
        <v>50000</v>
      </c>
      <c r="G30" s="367">
        <f t="shared" si="1"/>
        <v>1603</v>
      </c>
      <c r="H30" s="363">
        <v>50000</v>
      </c>
      <c r="I30" s="232"/>
      <c r="J30" s="229"/>
    </row>
    <row r="31" spans="1:10" x14ac:dyDescent="0.2">
      <c r="A31" s="470"/>
      <c r="B31" s="344" t="s">
        <v>243</v>
      </c>
      <c r="C31" s="370" t="s">
        <v>187</v>
      </c>
      <c r="D31" s="365">
        <v>21400</v>
      </c>
      <c r="E31" s="363">
        <v>21550</v>
      </c>
      <c r="F31" s="364">
        <v>20000</v>
      </c>
      <c r="G31" s="367">
        <f t="shared" si="1"/>
        <v>-3450</v>
      </c>
      <c r="H31" s="363">
        <v>25000</v>
      </c>
      <c r="I31" s="232"/>
      <c r="J31" s="229"/>
    </row>
    <row r="32" spans="1:10" x14ac:dyDescent="0.2">
      <c r="A32" s="470"/>
      <c r="B32" s="344" t="s">
        <v>252</v>
      </c>
      <c r="C32" s="370" t="s">
        <v>188</v>
      </c>
      <c r="D32" s="365">
        <v>33550</v>
      </c>
      <c r="E32" s="363">
        <v>29800</v>
      </c>
      <c r="F32" s="364">
        <v>40000</v>
      </c>
      <c r="G32" s="367">
        <f t="shared" si="1"/>
        <v>-10200</v>
      </c>
      <c r="H32" s="363">
        <v>40000</v>
      </c>
      <c r="I32" s="232"/>
      <c r="J32" s="86"/>
    </row>
    <row r="33" spans="1:10" x14ac:dyDescent="0.2">
      <c r="A33" s="470"/>
      <c r="B33" s="344" t="s">
        <v>246</v>
      </c>
      <c r="C33" s="370" t="s">
        <v>27</v>
      </c>
      <c r="D33" s="365">
        <v>3502</v>
      </c>
      <c r="E33" s="363"/>
      <c r="F33" s="367">
        <v>0</v>
      </c>
      <c r="G33" s="367">
        <f t="shared" si="1"/>
        <v>0</v>
      </c>
      <c r="H33" s="363">
        <v>0</v>
      </c>
      <c r="I33" s="232"/>
      <c r="J33" s="86"/>
    </row>
    <row r="34" spans="1:10" x14ac:dyDescent="0.2">
      <c r="A34" s="470"/>
      <c r="B34" s="344" t="s">
        <v>283</v>
      </c>
      <c r="C34" s="370" t="s">
        <v>13</v>
      </c>
      <c r="D34" s="365">
        <f>2850+400+1106</f>
        <v>4356</v>
      </c>
      <c r="E34" s="363"/>
      <c r="F34" s="364">
        <v>79500</v>
      </c>
      <c r="G34" s="367">
        <f t="shared" si="1"/>
        <v>-79500</v>
      </c>
      <c r="H34" s="363">
        <v>79500</v>
      </c>
      <c r="I34" s="232"/>
      <c r="J34" s="86"/>
    </row>
    <row r="35" spans="1:10" x14ac:dyDescent="0.2">
      <c r="A35" s="470"/>
      <c r="B35" s="344" t="s">
        <v>240</v>
      </c>
      <c r="C35" s="370" t="s">
        <v>320</v>
      </c>
      <c r="D35" s="372">
        <v>320657</v>
      </c>
      <c r="E35" s="363"/>
      <c r="F35" s="364">
        <v>75000</v>
      </c>
      <c r="G35" s="367">
        <f t="shared" si="1"/>
        <v>-75000</v>
      </c>
      <c r="H35" s="363">
        <v>75000</v>
      </c>
      <c r="I35" s="232"/>
    </row>
    <row r="36" spans="1:10" x14ac:dyDescent="0.2">
      <c r="A36" s="470"/>
      <c r="B36" s="345" t="s">
        <v>378</v>
      </c>
      <c r="C36" s="412" t="s">
        <v>379</v>
      </c>
      <c r="D36" s="372"/>
      <c r="E36" s="363">
        <v>6650</v>
      </c>
      <c r="F36" s="364">
        <v>0</v>
      </c>
      <c r="G36" s="367">
        <f t="shared" si="1"/>
        <v>6650</v>
      </c>
      <c r="H36" s="363">
        <v>0</v>
      </c>
      <c r="I36" s="232"/>
    </row>
    <row r="37" spans="1:10" x14ac:dyDescent="0.2">
      <c r="A37" s="470"/>
      <c r="B37" s="344" t="s">
        <v>259</v>
      </c>
      <c r="C37" s="373" t="s">
        <v>73</v>
      </c>
      <c r="D37" s="365">
        <v>32950</v>
      </c>
      <c r="E37" s="363"/>
      <c r="F37" s="367">
        <v>0</v>
      </c>
      <c r="G37" s="367">
        <f t="shared" si="1"/>
        <v>0</v>
      </c>
      <c r="H37" s="367">
        <v>0</v>
      </c>
      <c r="I37" s="232"/>
    </row>
    <row r="38" spans="1:10" x14ac:dyDescent="0.2">
      <c r="A38" s="470"/>
      <c r="B38" s="344"/>
      <c r="C38" s="374" t="s">
        <v>350</v>
      </c>
      <c r="D38" s="365"/>
      <c r="E38" s="363">
        <v>7137</v>
      </c>
      <c r="F38" s="367">
        <v>0</v>
      </c>
      <c r="G38" s="367">
        <f t="shared" si="1"/>
        <v>7137</v>
      </c>
      <c r="H38" s="367">
        <v>0</v>
      </c>
      <c r="I38" s="232"/>
    </row>
    <row r="39" spans="1:10" x14ac:dyDescent="0.2">
      <c r="A39" s="470"/>
      <c r="B39" s="344" t="s">
        <v>261</v>
      </c>
      <c r="C39" s="373" t="s">
        <v>260</v>
      </c>
      <c r="D39" s="365"/>
      <c r="E39" s="363">
        <v>-293846</v>
      </c>
      <c r="F39" s="364">
        <v>25000</v>
      </c>
      <c r="G39" s="367">
        <f t="shared" si="1"/>
        <v>-318846</v>
      </c>
      <c r="H39" s="367">
        <v>25000</v>
      </c>
    </row>
    <row r="40" spans="1:10" x14ac:dyDescent="0.2">
      <c r="A40" s="470"/>
      <c r="B40" s="345" t="s">
        <v>377</v>
      </c>
      <c r="C40" s="374" t="s">
        <v>75</v>
      </c>
      <c r="D40" s="365"/>
      <c r="E40" s="363"/>
      <c r="F40" s="364">
        <v>5000</v>
      </c>
      <c r="G40" s="367">
        <f t="shared" si="1"/>
        <v>-5000</v>
      </c>
      <c r="H40" s="367">
        <v>5000</v>
      </c>
    </row>
    <row r="41" spans="1:10" ht="13.5" thickBot="1" x14ac:dyDescent="0.25">
      <c r="A41" s="470"/>
      <c r="B41" s="380" t="s">
        <v>286</v>
      </c>
      <c r="C41" s="381" t="s">
        <v>287</v>
      </c>
      <c r="D41" s="382"/>
      <c r="E41" s="383">
        <v>1753</v>
      </c>
      <c r="F41" s="384">
        <v>30000</v>
      </c>
      <c r="G41" s="367">
        <f t="shared" si="1"/>
        <v>-28247</v>
      </c>
      <c r="H41" s="385">
        <v>30000</v>
      </c>
    </row>
    <row r="42" spans="1:10" ht="18.75" customHeight="1" thickBot="1" x14ac:dyDescent="0.25">
      <c r="A42" s="470"/>
      <c r="B42" s="326"/>
      <c r="C42" s="325" t="s">
        <v>20</v>
      </c>
      <c r="D42" s="320">
        <f>SUM(D4:D39)</f>
        <v>1646900</v>
      </c>
      <c r="E42" s="329">
        <f>SUM(E4:E41)</f>
        <v>2736482.46</v>
      </c>
      <c r="F42" s="320">
        <f>SUM(F4:F41)</f>
        <v>2289500</v>
      </c>
      <c r="G42" s="319">
        <f>SUM(G4:G41)</f>
        <v>456982.45999999996</v>
      </c>
      <c r="H42" s="321">
        <f>SUM(H4:H41)</f>
        <v>2279500</v>
      </c>
    </row>
    <row r="43" spans="1:10" ht="16.5" customHeight="1" x14ac:dyDescent="0.2">
      <c r="A43" s="322"/>
      <c r="B43" s="125"/>
      <c r="C43" s="387"/>
      <c r="D43" s="239"/>
      <c r="E43" s="388"/>
      <c r="F43" s="388"/>
      <c r="G43" s="239"/>
      <c r="H43" s="388"/>
      <c r="J43" s="154"/>
    </row>
    <row r="44" spans="1:10" x14ac:dyDescent="0.2">
      <c r="A44" s="155"/>
      <c r="B44" s="391" t="s">
        <v>374</v>
      </c>
      <c r="C44" s="389" t="s">
        <v>375</v>
      </c>
      <c r="D44" s="365"/>
      <c r="E44" s="390"/>
      <c r="F44" s="390">
        <v>0</v>
      </c>
      <c r="G44" s="394">
        <v>0</v>
      </c>
      <c r="H44" s="390">
        <v>0</v>
      </c>
    </row>
    <row r="45" spans="1:10" x14ac:dyDescent="0.2">
      <c r="A45" s="155"/>
      <c r="B45" s="391"/>
      <c r="C45" s="389"/>
      <c r="D45" s="392"/>
      <c r="E45" s="367"/>
      <c r="F45" s="367"/>
      <c r="G45" s="394">
        <v>0</v>
      </c>
      <c r="H45" s="367">
        <v>0</v>
      </c>
    </row>
    <row r="46" spans="1:10" x14ac:dyDescent="0.2">
      <c r="A46" s="155"/>
      <c r="B46" s="391"/>
      <c r="C46" s="393"/>
      <c r="D46" s="365"/>
      <c r="E46" s="365"/>
      <c r="F46" s="365"/>
      <c r="G46" s="394">
        <v>0</v>
      </c>
      <c r="H46" s="365">
        <v>0</v>
      </c>
    </row>
    <row r="47" spans="1:10" x14ac:dyDescent="0.2">
      <c r="A47" s="155"/>
      <c r="B47" s="391" t="s">
        <v>310</v>
      </c>
      <c r="C47" s="393" t="s">
        <v>311</v>
      </c>
      <c r="D47" s="365"/>
      <c r="E47" s="365"/>
      <c r="F47" s="365"/>
      <c r="G47" s="394">
        <v>0</v>
      </c>
      <c r="H47" s="365">
        <v>0</v>
      </c>
    </row>
    <row r="48" spans="1:10" x14ac:dyDescent="0.2">
      <c r="A48" s="155"/>
      <c r="B48" s="391" t="s">
        <v>310</v>
      </c>
      <c r="C48" s="393" t="s">
        <v>312</v>
      </c>
      <c r="D48" s="365"/>
      <c r="E48" s="365"/>
      <c r="F48" s="365"/>
      <c r="G48" s="365">
        <v>0</v>
      </c>
      <c r="H48" s="365">
        <v>0</v>
      </c>
    </row>
    <row r="49" spans="1:8" ht="13.5" thickBot="1" x14ac:dyDescent="0.25">
      <c r="A49" s="386"/>
      <c r="B49" s="395"/>
      <c r="C49" s="396"/>
      <c r="D49" s="382"/>
      <c r="E49" s="382"/>
      <c r="F49" s="382"/>
      <c r="G49" s="382">
        <v>0</v>
      </c>
      <c r="H49" s="382"/>
    </row>
    <row r="50" spans="1:8" ht="13.5" thickBot="1" x14ac:dyDescent="0.25">
      <c r="A50" s="326"/>
      <c r="B50" s="327"/>
      <c r="C50" s="328" t="s">
        <v>66</v>
      </c>
      <c r="D50" s="320">
        <f>SUM(D45:D46)</f>
        <v>0</v>
      </c>
      <c r="E50" s="320">
        <f>SUM(E45:E49)</f>
        <v>0</v>
      </c>
      <c r="F50" s="320">
        <f>SUM(F45:F49)</f>
        <v>0</v>
      </c>
      <c r="G50" s="320">
        <f>SUM(G45:G49)</f>
        <v>0</v>
      </c>
      <c r="H50" s="321">
        <f>SUM(H45:H49)</f>
        <v>0</v>
      </c>
    </row>
    <row r="51" spans="1:8" x14ac:dyDescent="0.2">
      <c r="A51" s="153"/>
      <c r="B51" s="397"/>
      <c r="C51" s="398"/>
      <c r="D51" s="239"/>
      <c r="E51" s="239"/>
      <c r="F51" s="239"/>
      <c r="G51" s="239"/>
      <c r="H51" s="239"/>
    </row>
    <row r="52" spans="1:8" x14ac:dyDescent="0.2">
      <c r="A52" s="467"/>
      <c r="B52" s="400"/>
      <c r="C52" s="389"/>
      <c r="D52" s="365">
        <v>47322</v>
      </c>
      <c r="E52" s="365">
        <v>0</v>
      </c>
      <c r="F52" s="365">
        <v>0</v>
      </c>
      <c r="G52" s="365">
        <f t="shared" ref="G52" si="2">E52-F52</f>
        <v>0</v>
      </c>
      <c r="H52" s="365">
        <v>0</v>
      </c>
    </row>
    <row r="53" spans="1:8" x14ac:dyDescent="0.2">
      <c r="A53" s="467"/>
      <c r="B53" s="401" t="s">
        <v>262</v>
      </c>
      <c r="C53" s="389" t="s">
        <v>212</v>
      </c>
      <c r="D53" s="392">
        <v>20000</v>
      </c>
      <c r="E53" s="367"/>
      <c r="F53" s="367">
        <v>0</v>
      </c>
      <c r="G53" s="365">
        <v>0</v>
      </c>
      <c r="H53" s="367">
        <v>0</v>
      </c>
    </row>
    <row r="54" spans="1:8" x14ac:dyDescent="0.2">
      <c r="A54" s="467"/>
      <c r="B54" s="401" t="s">
        <v>319</v>
      </c>
      <c r="C54" s="389" t="s">
        <v>208</v>
      </c>
      <c r="D54" s="392">
        <f>15775+5509-2722</f>
        <v>18562</v>
      </c>
      <c r="E54" s="367"/>
      <c r="F54" s="367">
        <v>0</v>
      </c>
      <c r="G54" s="365">
        <v>0</v>
      </c>
      <c r="H54" s="367">
        <v>0</v>
      </c>
    </row>
    <row r="55" spans="1:8" x14ac:dyDescent="0.2">
      <c r="A55" s="467"/>
      <c r="B55" s="401" t="s">
        <v>315</v>
      </c>
      <c r="C55" s="389" t="s">
        <v>316</v>
      </c>
      <c r="D55" s="392"/>
      <c r="E55" s="367">
        <v>0</v>
      </c>
      <c r="F55" s="367">
        <v>0</v>
      </c>
      <c r="G55" s="365">
        <v>0</v>
      </c>
      <c r="H55" s="367">
        <v>0</v>
      </c>
    </row>
    <row r="56" spans="1:8" x14ac:dyDescent="0.2">
      <c r="A56" s="467"/>
      <c r="B56" s="401" t="s">
        <v>266</v>
      </c>
      <c r="C56" s="389" t="s">
        <v>265</v>
      </c>
      <c r="D56" s="392">
        <v>31140</v>
      </c>
      <c r="E56" s="367">
        <v>0</v>
      </c>
      <c r="F56" s="367">
        <v>0</v>
      </c>
      <c r="G56" s="365">
        <f t="shared" ref="G56:G58" si="3">H56-F56</f>
        <v>0</v>
      </c>
      <c r="H56" s="367">
        <v>0</v>
      </c>
    </row>
    <row r="57" spans="1:8" x14ac:dyDescent="0.2">
      <c r="A57" s="467"/>
      <c r="B57" s="401" t="s">
        <v>253</v>
      </c>
      <c r="C57" s="389" t="s">
        <v>206</v>
      </c>
      <c r="D57" s="392"/>
      <c r="E57" s="367">
        <v>0</v>
      </c>
      <c r="F57" s="367">
        <v>0</v>
      </c>
      <c r="G57" s="365">
        <f t="shared" si="3"/>
        <v>0</v>
      </c>
      <c r="H57" s="367">
        <v>0</v>
      </c>
    </row>
    <row r="58" spans="1:8" ht="13.5" thickBot="1" x14ac:dyDescent="0.25">
      <c r="A58" s="468"/>
      <c r="B58" s="399"/>
      <c r="C58" s="399"/>
      <c r="D58" s="318">
        <v>75000</v>
      </c>
      <c r="E58" s="199">
        <v>0</v>
      </c>
      <c r="F58" s="199">
        <v>0</v>
      </c>
      <c r="G58" s="239">
        <f t="shared" si="3"/>
        <v>0</v>
      </c>
      <c r="H58" s="199">
        <v>0</v>
      </c>
    </row>
    <row r="59" spans="1:8" ht="13.5" thickBot="1" x14ac:dyDescent="0.25">
      <c r="A59" s="323"/>
      <c r="B59" s="324"/>
      <c r="C59" s="325" t="s">
        <v>104</v>
      </c>
      <c r="D59" s="319">
        <f>SUM(D52:D58)</f>
        <v>192024</v>
      </c>
      <c r="E59" s="320">
        <f>SUM(E53:E58)</f>
        <v>0</v>
      </c>
      <c r="F59" s="320">
        <f>SUM(F53:F58)</f>
        <v>0</v>
      </c>
      <c r="G59" s="319">
        <f>SUM(G52:G58)</f>
        <v>0</v>
      </c>
      <c r="H59" s="321">
        <f>SUM(H52:H58)</f>
        <v>0</v>
      </c>
    </row>
  </sheetData>
  <mergeCells count="4">
    <mergeCell ref="A52:A58"/>
    <mergeCell ref="A4:A42"/>
    <mergeCell ref="A1:F1"/>
    <mergeCell ref="A2:F2"/>
  </mergeCells>
  <phoneticPr fontId="2" type="noConversion"/>
  <printOptions horizontalCentered="1"/>
  <pageMargins left="0.75" right="0.75" top="0.5" bottom="0.5" header="0.5" footer="0.25"/>
  <pageSetup scale="66" orientation="portrait" r:id="rId1"/>
  <headerFooter alignWithMargins="0">
    <oddHeader xml:space="preserve">&amp;RPrint Date: &amp;D   </oddHeader>
    <oddFooter>Page &amp;P&amp;RFy23 FINAL Budget Presentation to Council processed</oddFooter>
  </headerFooter>
  <colBreaks count="1" manualBreakCount="1">
    <brk id="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O78"/>
  <sheetViews>
    <sheetView topLeftCell="A48" workbookViewId="0">
      <selection activeCell="E68" sqref="E68"/>
    </sheetView>
  </sheetViews>
  <sheetFormatPr defaultRowHeight="12.75" x14ac:dyDescent="0.2"/>
  <cols>
    <col min="1" max="1" width="8" style="14" customWidth="1"/>
    <col min="2" max="2" width="16.85546875" style="47" customWidth="1"/>
    <col min="3" max="3" width="31.85546875" style="2" customWidth="1"/>
    <col min="4" max="4" width="12.28515625" style="2" hidden="1" customWidth="1"/>
    <col min="5" max="5" width="13.7109375" style="2" customWidth="1"/>
    <col min="6" max="6" width="13.7109375" style="206" customWidth="1"/>
    <col min="7" max="7" width="12.5703125" style="2" customWidth="1"/>
    <col min="8" max="8" width="11.28515625" style="2" bestFit="1" customWidth="1"/>
    <col min="9" max="9" width="11.28515625" style="2" hidden="1" customWidth="1"/>
    <col min="10" max="12" width="9.140625" style="2"/>
    <col min="13" max="13" width="12.140625" style="2" bestFit="1" customWidth="1"/>
    <col min="14" max="14" width="43.85546875" style="2" bestFit="1" customWidth="1"/>
    <col min="15" max="15" width="10.28515625" style="15" bestFit="1" customWidth="1"/>
    <col min="16" max="16384" width="9.140625" style="2"/>
  </cols>
  <sheetData>
    <row r="1" spans="1:15" ht="20.25" customHeight="1" x14ac:dyDescent="0.2">
      <c r="A1" s="471" t="s">
        <v>391</v>
      </c>
      <c r="B1" s="471"/>
      <c r="C1" s="471"/>
      <c r="D1" s="471"/>
      <c r="E1" s="471"/>
      <c r="F1" s="471"/>
    </row>
    <row r="2" spans="1:15" ht="20.25" customHeight="1" thickBot="1" x14ac:dyDescent="0.25">
      <c r="A2" s="473" t="s">
        <v>392</v>
      </c>
      <c r="B2" s="473"/>
      <c r="C2" s="473"/>
      <c r="D2" s="473"/>
      <c r="E2" s="473"/>
      <c r="F2" s="473"/>
    </row>
    <row r="3" spans="1:15" s="27" customFormat="1" ht="39" thickBot="1" x14ac:dyDescent="0.25">
      <c r="A3" s="477" t="s">
        <v>25</v>
      </c>
      <c r="B3" s="330" t="s">
        <v>177</v>
      </c>
      <c r="C3" s="331" t="s">
        <v>44</v>
      </c>
      <c r="D3" s="305" t="s">
        <v>211</v>
      </c>
      <c r="E3" s="50" t="s">
        <v>413</v>
      </c>
      <c r="F3" s="50" t="s">
        <v>390</v>
      </c>
      <c r="G3" s="50" t="s">
        <v>282</v>
      </c>
      <c r="H3" s="50" t="s">
        <v>391</v>
      </c>
      <c r="O3" s="482"/>
    </row>
    <row r="4" spans="1:15" s="27" customFormat="1" x14ac:dyDescent="0.2">
      <c r="A4" s="475"/>
      <c r="B4" s="126" t="s">
        <v>231</v>
      </c>
      <c r="C4" s="127" t="s">
        <v>167</v>
      </c>
      <c r="D4" s="34"/>
      <c r="E4" s="106"/>
      <c r="F4" s="106"/>
      <c r="G4" s="106"/>
      <c r="H4" s="106"/>
      <c r="I4" s="232">
        <f>(E4/9)*12</f>
        <v>0</v>
      </c>
      <c r="L4" s="242"/>
      <c r="O4" s="482"/>
    </row>
    <row r="5" spans="1:15" s="27" customFormat="1" x14ac:dyDescent="0.2">
      <c r="A5" s="475"/>
      <c r="B5" s="126"/>
      <c r="C5" s="127" t="s">
        <v>129</v>
      </c>
      <c r="D5" s="30">
        <f>17176</f>
        <v>17176</v>
      </c>
      <c r="E5" s="481">
        <v>25590.14</v>
      </c>
      <c r="F5" s="105">
        <v>21485.112000000001</v>
      </c>
      <c r="G5" s="30">
        <f>E5-F5</f>
        <v>4105.0279999999984</v>
      </c>
      <c r="H5" s="105">
        <v>31000</v>
      </c>
      <c r="L5" s="242"/>
      <c r="O5" s="482"/>
    </row>
    <row r="6" spans="1:15" x14ac:dyDescent="0.2">
      <c r="A6" s="475"/>
      <c r="B6" s="45"/>
      <c r="C6" s="124" t="s">
        <v>57</v>
      </c>
      <c r="D6" s="30"/>
      <c r="E6" s="481">
        <v>1957.69</v>
      </c>
      <c r="F6" s="105">
        <v>0</v>
      </c>
      <c r="G6" s="30">
        <f t="shared" ref="G6:G19" si="0">E6-F6</f>
        <v>1957.69</v>
      </c>
      <c r="H6" s="105">
        <v>4500</v>
      </c>
      <c r="L6" s="242"/>
    </row>
    <row r="7" spans="1:15" x14ac:dyDescent="0.2">
      <c r="A7" s="475"/>
      <c r="B7" s="76"/>
      <c r="C7" s="124" t="s">
        <v>97</v>
      </c>
      <c r="D7" s="30"/>
      <c r="E7" s="105"/>
      <c r="F7" s="105">
        <v>0</v>
      </c>
      <c r="G7" s="30">
        <f t="shared" si="0"/>
        <v>0</v>
      </c>
      <c r="H7" s="105">
        <f t="shared" ref="H7:H14" si="1">(E7/10)*12</f>
        <v>0</v>
      </c>
      <c r="L7" s="242"/>
    </row>
    <row r="8" spans="1:15" ht="25.5" x14ac:dyDescent="0.2">
      <c r="A8" s="475"/>
      <c r="B8" s="45"/>
      <c r="C8" s="111" t="s">
        <v>166</v>
      </c>
      <c r="D8" s="30">
        <v>1612</v>
      </c>
      <c r="E8" s="105"/>
      <c r="F8" s="105">
        <v>0</v>
      </c>
      <c r="G8" s="30">
        <f t="shared" si="0"/>
        <v>0</v>
      </c>
      <c r="H8" s="105">
        <v>0</v>
      </c>
      <c r="L8" s="242"/>
    </row>
    <row r="9" spans="1:15" x14ac:dyDescent="0.2">
      <c r="A9" s="475"/>
      <c r="B9" s="45"/>
      <c r="C9" s="110" t="s">
        <v>289</v>
      </c>
      <c r="D9" s="30">
        <f>5796</f>
        <v>5796</v>
      </c>
      <c r="E9" s="105">
        <v>8879.31</v>
      </c>
      <c r="F9" s="105">
        <v>5000</v>
      </c>
      <c r="G9" s="30">
        <f t="shared" si="0"/>
        <v>3879.3099999999995</v>
      </c>
      <c r="H9" s="105">
        <v>15000</v>
      </c>
      <c r="I9" s="232">
        <f>(E9/9)*12</f>
        <v>11839.079999999998</v>
      </c>
      <c r="L9" s="242"/>
    </row>
    <row r="10" spans="1:15" x14ac:dyDescent="0.2">
      <c r="A10" s="475"/>
      <c r="B10" s="45"/>
      <c r="C10" s="6" t="s">
        <v>288</v>
      </c>
      <c r="D10" s="30"/>
      <c r="E10" s="480">
        <v>3121.88</v>
      </c>
      <c r="F10" s="105">
        <v>0</v>
      </c>
      <c r="G10" s="30">
        <f t="shared" si="0"/>
        <v>3121.88</v>
      </c>
      <c r="H10" s="105">
        <v>1500</v>
      </c>
      <c r="L10" s="242"/>
    </row>
    <row r="11" spans="1:15" x14ac:dyDescent="0.2">
      <c r="A11" s="475"/>
      <c r="B11" s="45"/>
      <c r="C11" s="6" t="s">
        <v>50</v>
      </c>
      <c r="D11" s="30">
        <v>47322</v>
      </c>
      <c r="E11" s="105"/>
      <c r="F11" s="105">
        <v>0</v>
      </c>
      <c r="G11" s="30">
        <f t="shared" si="0"/>
        <v>0</v>
      </c>
      <c r="H11" s="105">
        <v>0</v>
      </c>
      <c r="L11" s="242"/>
    </row>
    <row r="12" spans="1:15" x14ac:dyDescent="0.2">
      <c r="A12" s="475"/>
      <c r="B12" s="45"/>
      <c r="C12" s="110" t="s">
        <v>132</v>
      </c>
      <c r="D12" s="30"/>
      <c r="E12" s="105"/>
      <c r="F12" s="105">
        <v>0</v>
      </c>
      <c r="G12" s="30">
        <f t="shared" si="0"/>
        <v>0</v>
      </c>
      <c r="H12" s="105">
        <f t="shared" si="1"/>
        <v>0</v>
      </c>
      <c r="L12" s="242"/>
    </row>
    <row r="13" spans="1:15" x14ac:dyDescent="0.2">
      <c r="A13" s="475"/>
      <c r="B13" s="45"/>
      <c r="C13" s="110" t="s">
        <v>133</v>
      </c>
      <c r="D13" s="30">
        <v>964</v>
      </c>
      <c r="E13" s="105">
        <v>345.5</v>
      </c>
      <c r="F13" s="105">
        <v>7300</v>
      </c>
      <c r="G13" s="30">
        <f t="shared" si="0"/>
        <v>-6954.5</v>
      </c>
      <c r="H13" s="105">
        <v>3500</v>
      </c>
      <c r="I13" s="232">
        <f>(E13/9)*12</f>
        <v>460.66666666666663</v>
      </c>
      <c r="L13" s="242"/>
    </row>
    <row r="14" spans="1:15" x14ac:dyDescent="0.2">
      <c r="A14" s="475"/>
      <c r="B14" s="45"/>
      <c r="C14" s="110" t="s">
        <v>165</v>
      </c>
      <c r="D14" s="30"/>
      <c r="E14" s="105"/>
      <c r="F14" s="105">
        <v>0</v>
      </c>
      <c r="G14" s="30">
        <f t="shared" si="0"/>
        <v>0</v>
      </c>
      <c r="H14" s="105">
        <f t="shared" si="1"/>
        <v>0</v>
      </c>
    </row>
    <row r="15" spans="1:15" x14ac:dyDescent="0.2">
      <c r="A15" s="475"/>
      <c r="B15" s="45"/>
      <c r="C15" s="110" t="s">
        <v>140</v>
      </c>
      <c r="D15" s="30">
        <v>3850</v>
      </c>
      <c r="E15" s="105"/>
      <c r="F15" s="105">
        <v>6100</v>
      </c>
      <c r="G15" s="30">
        <f t="shared" si="0"/>
        <v>-6100</v>
      </c>
      <c r="H15" s="105">
        <v>1500</v>
      </c>
      <c r="I15" s="232">
        <f>(E15/9)*12</f>
        <v>0</v>
      </c>
    </row>
    <row r="16" spans="1:15" x14ac:dyDescent="0.2">
      <c r="A16" s="475"/>
      <c r="B16" s="45"/>
      <c r="C16" s="6" t="s">
        <v>2</v>
      </c>
      <c r="D16" s="30"/>
      <c r="E16" s="105"/>
      <c r="F16" s="105">
        <v>0</v>
      </c>
      <c r="G16" s="30">
        <f t="shared" si="0"/>
        <v>0</v>
      </c>
      <c r="H16" s="105">
        <v>0</v>
      </c>
      <c r="I16" s="232">
        <f>(E16/9)*12</f>
        <v>0</v>
      </c>
    </row>
    <row r="17" spans="1:15" x14ac:dyDescent="0.2">
      <c r="A17" s="475"/>
      <c r="B17" s="45"/>
      <c r="C17" s="111" t="s">
        <v>135</v>
      </c>
      <c r="D17" s="30">
        <v>8032</v>
      </c>
      <c r="E17" s="105">
        <v>11250</v>
      </c>
      <c r="F17" s="105">
        <v>15000</v>
      </c>
      <c r="G17" s="30">
        <f t="shared" si="0"/>
        <v>-3750</v>
      </c>
      <c r="H17" s="105">
        <v>15000</v>
      </c>
      <c r="I17" s="232">
        <f>(E17/9)*12</f>
        <v>15000</v>
      </c>
    </row>
    <row r="18" spans="1:15" x14ac:dyDescent="0.2">
      <c r="A18" s="475"/>
      <c r="B18" s="45"/>
      <c r="C18" s="110" t="s">
        <v>136</v>
      </c>
      <c r="D18" s="30">
        <v>3713</v>
      </c>
      <c r="E18" s="105">
        <v>726</v>
      </c>
      <c r="F18" s="105">
        <v>1080</v>
      </c>
      <c r="G18" s="30">
        <f t="shared" si="0"/>
        <v>-354</v>
      </c>
      <c r="H18" s="105">
        <v>2000</v>
      </c>
      <c r="I18" s="2">
        <f>(E18/9)*12</f>
        <v>968</v>
      </c>
    </row>
    <row r="19" spans="1:15" x14ac:dyDescent="0.2">
      <c r="A19" s="475"/>
      <c r="B19" s="45"/>
      <c r="C19" s="6" t="s">
        <v>24</v>
      </c>
      <c r="D19" s="207"/>
      <c r="E19" s="105"/>
      <c r="F19" s="105">
        <v>0</v>
      </c>
      <c r="G19" s="30">
        <f t="shared" si="0"/>
        <v>0</v>
      </c>
      <c r="H19" s="105">
        <v>0</v>
      </c>
    </row>
    <row r="20" spans="1:15" x14ac:dyDescent="0.2">
      <c r="A20" s="476"/>
      <c r="B20" s="46"/>
      <c r="C20" s="58" t="s">
        <v>18</v>
      </c>
      <c r="D20" s="208">
        <f>SUM(D4:D19)</f>
        <v>88465</v>
      </c>
      <c r="E20" s="57">
        <f>SUM(E4:E19)</f>
        <v>51870.52</v>
      </c>
      <c r="F20" s="57">
        <f>SUM(F4:F19)</f>
        <v>55965.112000000001</v>
      </c>
      <c r="G20" s="57">
        <f>SUM(G4:G19)</f>
        <v>-4094.5920000000006</v>
      </c>
      <c r="H20" s="57">
        <f>SUM(H4:H19)</f>
        <v>74000</v>
      </c>
    </row>
    <row r="21" spans="1:15" x14ac:dyDescent="0.2">
      <c r="A21" s="332"/>
      <c r="B21" s="46"/>
      <c r="C21" s="333"/>
      <c r="D21" s="334"/>
      <c r="E21" s="335"/>
      <c r="F21" s="335"/>
      <c r="G21" s="67"/>
      <c r="H21" s="335"/>
    </row>
    <row r="22" spans="1:15" customFormat="1" ht="20.25" x14ac:dyDescent="0.3">
      <c r="A22" s="38"/>
      <c r="B22" s="38"/>
      <c r="C22" s="38"/>
      <c r="D22" s="209"/>
      <c r="E22" s="38"/>
      <c r="F22" s="38"/>
      <c r="G22" s="336"/>
      <c r="H22" s="38"/>
      <c r="O22" s="481"/>
    </row>
    <row r="23" spans="1:15" s="26" customFormat="1" ht="38.25" x14ac:dyDescent="0.2">
      <c r="A23" s="474" t="s">
        <v>26</v>
      </c>
      <c r="B23" s="404" t="s">
        <v>177</v>
      </c>
      <c r="C23" s="121" t="s">
        <v>44</v>
      </c>
      <c r="D23" s="50" t="s">
        <v>211</v>
      </c>
      <c r="E23" s="50" t="s">
        <v>413</v>
      </c>
      <c r="F23" s="50" t="s">
        <v>390</v>
      </c>
      <c r="G23" s="50" t="s">
        <v>282</v>
      </c>
      <c r="H23" s="50" t="s">
        <v>391</v>
      </c>
      <c r="O23" s="483"/>
    </row>
    <row r="24" spans="1:15" x14ac:dyDescent="0.2">
      <c r="A24" s="475"/>
      <c r="B24" s="405" t="s">
        <v>232</v>
      </c>
      <c r="C24" s="120" t="s">
        <v>138</v>
      </c>
      <c r="D24" s="30">
        <v>216</v>
      </c>
      <c r="E24" s="481">
        <v>94.09</v>
      </c>
      <c r="F24" s="105">
        <v>0</v>
      </c>
      <c r="G24" s="30">
        <f>E24-F24</f>
        <v>94.09</v>
      </c>
      <c r="H24" s="105">
        <v>1000</v>
      </c>
      <c r="I24" s="232">
        <f>(E25/9)*12</f>
        <v>1299100.1733333333</v>
      </c>
    </row>
    <row r="25" spans="1:15" x14ac:dyDescent="0.2">
      <c r="A25" s="475"/>
      <c r="B25" s="405"/>
      <c r="C25" s="6" t="s">
        <v>120</v>
      </c>
      <c r="D25" s="30">
        <f>315960+136401</f>
        <v>452361</v>
      </c>
      <c r="E25" s="481">
        <v>974325.13</v>
      </c>
      <c r="F25" s="105">
        <v>591241</v>
      </c>
      <c r="G25" s="30">
        <f t="shared" ref="G25:G53" si="2">E25-F25</f>
        <v>383084.13</v>
      </c>
      <c r="H25" s="105">
        <v>591241</v>
      </c>
      <c r="I25" s="232" t="e">
        <f>(#REF!/9)*12</f>
        <v>#REF!</v>
      </c>
    </row>
    <row r="26" spans="1:15" x14ac:dyDescent="0.2">
      <c r="A26" s="475"/>
      <c r="B26" s="405"/>
      <c r="C26" s="6" t="s">
        <v>202</v>
      </c>
      <c r="D26" s="30">
        <f>338+27210</f>
        <v>27548</v>
      </c>
      <c r="E26" s="481">
        <v>377189.21</v>
      </c>
      <c r="F26" s="105">
        <v>192863</v>
      </c>
      <c r="G26" s="30">
        <f t="shared" si="2"/>
        <v>184326.21000000002</v>
      </c>
      <c r="H26" s="105">
        <v>192863</v>
      </c>
      <c r="I26" s="232">
        <f t="shared" ref="I26:I53" si="3">(E26/9)*12</f>
        <v>502918.94666666666</v>
      </c>
    </row>
    <row r="27" spans="1:15" x14ac:dyDescent="0.2">
      <c r="A27" s="475"/>
      <c r="B27" s="406"/>
      <c r="C27" s="110" t="s">
        <v>173</v>
      </c>
      <c r="D27" s="30">
        <v>16047</v>
      </c>
      <c r="E27" s="262">
        <v>53056.45</v>
      </c>
      <c r="F27" s="105">
        <v>50000</v>
      </c>
      <c r="G27" s="30">
        <f t="shared" si="2"/>
        <v>3056.4499999999971</v>
      </c>
      <c r="H27" s="105">
        <v>70000</v>
      </c>
      <c r="I27" s="232">
        <f t="shared" si="3"/>
        <v>70741.93333333332</v>
      </c>
    </row>
    <row r="28" spans="1:15" x14ac:dyDescent="0.2">
      <c r="A28" s="475"/>
      <c r="B28" s="406"/>
      <c r="C28" s="110" t="s">
        <v>381</v>
      </c>
      <c r="D28" s="30"/>
      <c r="E28" s="481">
        <v>9293.11</v>
      </c>
      <c r="F28" s="105">
        <v>0</v>
      </c>
      <c r="G28" s="30">
        <f t="shared" si="2"/>
        <v>9293.11</v>
      </c>
      <c r="H28" s="105">
        <v>12500</v>
      </c>
      <c r="I28" s="232"/>
    </row>
    <row r="29" spans="1:15" x14ac:dyDescent="0.2">
      <c r="A29" s="475"/>
      <c r="B29" s="406"/>
      <c r="C29" s="110" t="s">
        <v>382</v>
      </c>
      <c r="D29" s="30"/>
      <c r="E29" s="481">
        <v>3630</v>
      </c>
      <c r="F29" s="105">
        <v>0</v>
      </c>
      <c r="G29" s="30">
        <f t="shared" si="2"/>
        <v>3630</v>
      </c>
      <c r="H29" s="105">
        <v>15000</v>
      </c>
      <c r="I29" s="232"/>
    </row>
    <row r="30" spans="1:15" x14ac:dyDescent="0.2">
      <c r="A30" s="475"/>
      <c r="B30" s="406"/>
      <c r="C30" s="110" t="s">
        <v>17</v>
      </c>
      <c r="D30" s="30">
        <v>1400</v>
      </c>
      <c r="E30" s="481">
        <v>35564.49</v>
      </c>
      <c r="F30" s="105">
        <v>40000</v>
      </c>
      <c r="G30" s="30">
        <f t="shared" si="2"/>
        <v>-4435.510000000002</v>
      </c>
      <c r="H30" s="105">
        <v>40000</v>
      </c>
      <c r="I30" s="232">
        <f t="shared" si="3"/>
        <v>47419.319999999992</v>
      </c>
    </row>
    <row r="31" spans="1:15" x14ac:dyDescent="0.2">
      <c r="A31" s="475"/>
      <c r="B31" s="405"/>
      <c r="C31" s="110" t="s">
        <v>372</v>
      </c>
      <c r="D31" s="30"/>
      <c r="E31" s="481">
        <v>19998</v>
      </c>
      <c r="F31" s="105">
        <v>0</v>
      </c>
      <c r="G31" s="30">
        <f t="shared" si="2"/>
        <v>19998</v>
      </c>
      <c r="H31" s="105">
        <v>1000</v>
      </c>
      <c r="I31" s="232">
        <f t="shared" si="3"/>
        <v>26664</v>
      </c>
    </row>
    <row r="32" spans="1:15" x14ac:dyDescent="0.2">
      <c r="A32" s="475"/>
      <c r="B32" s="405"/>
      <c r="C32" s="6" t="s">
        <v>98</v>
      </c>
      <c r="D32" s="30"/>
      <c r="E32" s="262"/>
      <c r="F32" s="105">
        <v>38000</v>
      </c>
      <c r="G32" s="30">
        <f t="shared" si="2"/>
        <v>-38000</v>
      </c>
      <c r="H32" s="105">
        <v>38000</v>
      </c>
      <c r="I32" s="232">
        <f t="shared" si="3"/>
        <v>0</v>
      </c>
    </row>
    <row r="33" spans="1:9" x14ac:dyDescent="0.2">
      <c r="A33" s="475"/>
      <c r="B33" s="406"/>
      <c r="C33" s="110" t="s">
        <v>295</v>
      </c>
      <c r="D33" s="30">
        <f>46726+268288</f>
        <v>315014</v>
      </c>
      <c r="E33" s="481">
        <v>5954.41</v>
      </c>
      <c r="F33" s="105">
        <v>0</v>
      </c>
      <c r="G33" s="30">
        <f t="shared" si="2"/>
        <v>5954.41</v>
      </c>
      <c r="H33" s="105">
        <v>5000</v>
      </c>
      <c r="I33" s="232">
        <f t="shared" si="3"/>
        <v>7939.2133333333331</v>
      </c>
    </row>
    <row r="34" spans="1:9" x14ac:dyDescent="0.2">
      <c r="A34" s="475"/>
      <c r="B34" s="405"/>
      <c r="C34" s="110" t="s">
        <v>291</v>
      </c>
      <c r="D34" s="30">
        <v>3900</v>
      </c>
      <c r="E34" s="262">
        <v>24197</v>
      </c>
      <c r="F34" s="105">
        <v>7000</v>
      </c>
      <c r="G34" s="30">
        <f t="shared" si="2"/>
        <v>17197</v>
      </c>
      <c r="H34" s="105">
        <v>7000</v>
      </c>
      <c r="I34" s="232">
        <f t="shared" si="3"/>
        <v>32262.666666666668</v>
      </c>
    </row>
    <row r="35" spans="1:9" x14ac:dyDescent="0.2">
      <c r="A35" s="475"/>
      <c r="B35" s="406"/>
      <c r="C35" s="110" t="s">
        <v>278</v>
      </c>
      <c r="D35" s="30">
        <v>3225</v>
      </c>
      <c r="E35" s="481">
        <v>32556.16</v>
      </c>
      <c r="F35" s="105">
        <v>17000</v>
      </c>
      <c r="G35" s="30">
        <f t="shared" si="2"/>
        <v>15556.16</v>
      </c>
      <c r="H35" s="105">
        <v>17000</v>
      </c>
      <c r="I35" s="232">
        <f t="shared" si="3"/>
        <v>43408.213333333333</v>
      </c>
    </row>
    <row r="36" spans="1:9" x14ac:dyDescent="0.2">
      <c r="A36" s="475"/>
      <c r="B36" s="406"/>
      <c r="C36" s="110" t="s">
        <v>170</v>
      </c>
      <c r="D36" s="30">
        <v>1362</v>
      </c>
      <c r="E36" s="481">
        <v>3803.8</v>
      </c>
      <c r="F36" s="105">
        <v>2500</v>
      </c>
      <c r="G36" s="30">
        <f t="shared" si="2"/>
        <v>1303.8000000000002</v>
      </c>
      <c r="H36" s="105">
        <v>2500</v>
      </c>
      <c r="I36" s="232">
        <f t="shared" si="3"/>
        <v>5071.7333333333336</v>
      </c>
    </row>
    <row r="37" spans="1:9" x14ac:dyDescent="0.2">
      <c r="A37" s="475"/>
      <c r="B37" s="406"/>
      <c r="C37" s="110" t="s">
        <v>171</v>
      </c>
      <c r="D37" s="30">
        <v>9179</v>
      </c>
      <c r="E37" s="481">
        <f>16498.55+3161</f>
        <v>19659.55</v>
      </c>
      <c r="F37" s="105">
        <v>12500</v>
      </c>
      <c r="G37" s="30">
        <f t="shared" si="2"/>
        <v>7159.5499999999993</v>
      </c>
      <c r="H37" s="105">
        <v>12500</v>
      </c>
      <c r="I37" s="232">
        <f t="shared" si="3"/>
        <v>26212.73333333333</v>
      </c>
    </row>
    <row r="38" spans="1:9" x14ac:dyDescent="0.2">
      <c r="A38" s="475"/>
      <c r="B38" s="406"/>
      <c r="C38" s="110" t="s">
        <v>279</v>
      </c>
      <c r="D38" s="30">
        <v>1805</v>
      </c>
      <c r="E38" s="262"/>
      <c r="F38" s="105">
        <v>115000</v>
      </c>
      <c r="G38" s="30">
        <f t="shared" si="2"/>
        <v>-115000</v>
      </c>
      <c r="H38" s="105">
        <v>115000</v>
      </c>
      <c r="I38" s="232">
        <f t="shared" si="3"/>
        <v>0</v>
      </c>
    </row>
    <row r="39" spans="1:9" x14ac:dyDescent="0.2">
      <c r="A39" s="475"/>
      <c r="B39" s="405"/>
      <c r="C39" s="110" t="s">
        <v>199</v>
      </c>
      <c r="D39" s="30">
        <v>65131</v>
      </c>
      <c r="E39" s="262"/>
      <c r="F39" s="105">
        <v>65000</v>
      </c>
      <c r="G39" s="30">
        <f t="shared" si="2"/>
        <v>-65000</v>
      </c>
      <c r="H39" s="105">
        <v>75000</v>
      </c>
      <c r="I39" s="232">
        <f t="shared" si="3"/>
        <v>0</v>
      </c>
    </row>
    <row r="40" spans="1:9" x14ac:dyDescent="0.2">
      <c r="A40" s="475"/>
      <c r="B40" s="405"/>
      <c r="C40" s="110" t="s">
        <v>204</v>
      </c>
      <c r="D40" s="30">
        <v>10814</v>
      </c>
      <c r="E40" s="262">
        <v>38869.31</v>
      </c>
      <c r="F40" s="105">
        <v>100000</v>
      </c>
      <c r="G40" s="30">
        <f t="shared" si="2"/>
        <v>-61130.69</v>
      </c>
      <c r="H40" s="105">
        <v>150000</v>
      </c>
      <c r="I40" s="232">
        <f t="shared" si="3"/>
        <v>51825.746666666659</v>
      </c>
    </row>
    <row r="41" spans="1:9" x14ac:dyDescent="0.2">
      <c r="A41" s="475"/>
      <c r="B41" s="405"/>
      <c r="C41" s="110" t="s">
        <v>383</v>
      </c>
      <c r="D41" s="30"/>
      <c r="E41" s="262">
        <v>91443</v>
      </c>
      <c r="F41" s="105">
        <v>0</v>
      </c>
      <c r="G41" s="30">
        <f t="shared" si="2"/>
        <v>91443</v>
      </c>
      <c r="H41" s="105">
        <v>0</v>
      </c>
      <c r="I41" s="232">
        <f t="shared" si="3"/>
        <v>121924</v>
      </c>
    </row>
    <row r="42" spans="1:9" x14ac:dyDescent="0.2">
      <c r="A42" s="475"/>
      <c r="B42" s="405"/>
      <c r="C42" s="110" t="s">
        <v>384</v>
      </c>
      <c r="D42" s="30"/>
      <c r="E42" s="262">
        <v>3777</v>
      </c>
      <c r="F42" s="105">
        <v>0</v>
      </c>
      <c r="G42" s="30">
        <f t="shared" si="2"/>
        <v>3777</v>
      </c>
      <c r="H42" s="105">
        <v>0</v>
      </c>
      <c r="I42" s="232">
        <f t="shared" si="3"/>
        <v>5036</v>
      </c>
    </row>
    <row r="43" spans="1:9" x14ac:dyDescent="0.2">
      <c r="A43" s="475"/>
      <c r="B43" s="406"/>
      <c r="C43" s="110" t="s">
        <v>168</v>
      </c>
      <c r="D43" s="30">
        <v>238838</v>
      </c>
      <c r="E43" s="262">
        <v>-131349</v>
      </c>
      <c r="F43" s="105">
        <v>176000</v>
      </c>
      <c r="G43" s="30">
        <f t="shared" si="2"/>
        <v>-307349</v>
      </c>
      <c r="H43" s="105">
        <v>176000</v>
      </c>
      <c r="I43" s="232">
        <f t="shared" si="3"/>
        <v>-175132</v>
      </c>
    </row>
    <row r="44" spans="1:9" x14ac:dyDescent="0.2">
      <c r="A44" s="475"/>
      <c r="B44" s="406"/>
      <c r="C44" s="110" t="s">
        <v>331</v>
      </c>
      <c r="D44" s="30">
        <v>16449</v>
      </c>
      <c r="E44" s="262">
        <v>6955</v>
      </c>
      <c r="F44" s="105">
        <v>12500</v>
      </c>
      <c r="G44" s="30">
        <f t="shared" si="2"/>
        <v>-5545</v>
      </c>
      <c r="H44" s="105">
        <v>12500</v>
      </c>
      <c r="I44" s="232">
        <f t="shared" si="3"/>
        <v>9273.3333333333339</v>
      </c>
    </row>
    <row r="45" spans="1:9" x14ac:dyDescent="0.2">
      <c r="A45" s="475"/>
      <c r="B45" s="406"/>
      <c r="C45" s="110" t="s">
        <v>140</v>
      </c>
      <c r="D45" s="30">
        <v>4522</v>
      </c>
      <c r="E45" s="262">
        <v>8410.7199999999993</v>
      </c>
      <c r="F45" s="105">
        <v>8900</v>
      </c>
      <c r="G45" s="30">
        <f t="shared" si="2"/>
        <v>-489.28000000000065</v>
      </c>
      <c r="H45" s="105">
        <v>8900</v>
      </c>
      <c r="I45" s="232">
        <f t="shared" si="3"/>
        <v>11214.293333333333</v>
      </c>
    </row>
    <row r="46" spans="1:9" x14ac:dyDescent="0.2">
      <c r="A46" s="475"/>
      <c r="B46" s="406"/>
      <c r="C46" s="111" t="s">
        <v>287</v>
      </c>
      <c r="D46" s="30">
        <v>977</v>
      </c>
      <c r="E46" s="262">
        <v>75000</v>
      </c>
      <c r="F46" s="105">
        <v>0</v>
      </c>
      <c r="G46" s="30">
        <f t="shared" si="2"/>
        <v>75000</v>
      </c>
      <c r="H46" s="105">
        <v>60000</v>
      </c>
      <c r="I46" s="232">
        <f t="shared" si="3"/>
        <v>100000</v>
      </c>
    </row>
    <row r="47" spans="1:9" x14ac:dyDescent="0.2">
      <c r="A47" s="475"/>
      <c r="B47" s="406"/>
      <c r="C47" s="111" t="s">
        <v>393</v>
      </c>
      <c r="D47" s="30"/>
      <c r="E47" s="262">
        <v>2789.89</v>
      </c>
      <c r="F47" s="105">
        <v>0</v>
      </c>
      <c r="G47" s="30">
        <f t="shared" si="2"/>
        <v>2789.89</v>
      </c>
      <c r="H47" s="105">
        <v>7000</v>
      </c>
      <c r="I47" s="232"/>
    </row>
    <row r="48" spans="1:9" x14ac:dyDescent="0.2">
      <c r="A48" s="475"/>
      <c r="B48" s="406"/>
      <c r="C48" s="111" t="s">
        <v>292</v>
      </c>
      <c r="D48" s="30"/>
      <c r="E48" s="262">
        <v>8767.33</v>
      </c>
      <c r="F48" s="105">
        <v>0</v>
      </c>
      <c r="G48" s="30">
        <f t="shared" si="2"/>
        <v>8767.33</v>
      </c>
      <c r="H48" s="105">
        <v>150</v>
      </c>
      <c r="I48" s="232"/>
    </row>
    <row r="49" spans="1:15" x14ac:dyDescent="0.2">
      <c r="A49" s="475"/>
      <c r="B49" s="406"/>
      <c r="C49" s="111" t="s">
        <v>141</v>
      </c>
      <c r="D49" s="30">
        <v>357</v>
      </c>
      <c r="E49" s="481">
        <v>132948.24</v>
      </c>
      <c r="F49" s="105">
        <v>13200</v>
      </c>
      <c r="G49" s="30">
        <f t="shared" si="2"/>
        <v>119748.23999999999</v>
      </c>
      <c r="H49" s="105">
        <v>13200</v>
      </c>
      <c r="I49" s="232">
        <f t="shared" si="3"/>
        <v>177264.31999999998</v>
      </c>
    </row>
    <row r="50" spans="1:15" x14ac:dyDescent="0.2">
      <c r="A50" s="475"/>
      <c r="B50" s="406"/>
      <c r="C50" s="277" t="s">
        <v>290</v>
      </c>
      <c r="D50" s="30">
        <v>559</v>
      </c>
      <c r="E50" s="262">
        <v>33186</v>
      </c>
      <c r="F50" s="105">
        <v>200</v>
      </c>
      <c r="G50" s="30">
        <f t="shared" si="2"/>
        <v>32986</v>
      </c>
      <c r="H50" s="105">
        <v>10000</v>
      </c>
      <c r="I50" s="232">
        <f t="shared" si="3"/>
        <v>44248</v>
      </c>
    </row>
    <row r="51" spans="1:15" x14ac:dyDescent="0.2">
      <c r="A51" s="475"/>
      <c r="B51" s="406"/>
      <c r="C51" s="110" t="s">
        <v>293</v>
      </c>
      <c r="D51" s="30"/>
      <c r="E51" s="262"/>
      <c r="F51" s="105">
        <v>0</v>
      </c>
      <c r="G51" s="30">
        <f t="shared" si="2"/>
        <v>0</v>
      </c>
      <c r="H51" s="105">
        <v>0</v>
      </c>
      <c r="I51" s="232">
        <f t="shared" si="3"/>
        <v>0</v>
      </c>
    </row>
    <row r="52" spans="1:15" x14ac:dyDescent="0.2">
      <c r="A52" s="475"/>
      <c r="B52" s="405"/>
      <c r="C52" s="110" t="s">
        <v>280</v>
      </c>
      <c r="D52" s="30">
        <v>11756</v>
      </c>
      <c r="E52" s="262">
        <v>3991</v>
      </c>
      <c r="F52" s="105">
        <v>2100</v>
      </c>
      <c r="G52" s="30">
        <f t="shared" si="2"/>
        <v>1891</v>
      </c>
      <c r="H52" s="105">
        <v>2750</v>
      </c>
      <c r="I52" s="232">
        <f t="shared" si="3"/>
        <v>5321.3333333333339</v>
      </c>
    </row>
    <row r="53" spans="1:15" x14ac:dyDescent="0.2">
      <c r="A53" s="475"/>
      <c r="B53" s="406"/>
      <c r="C53" s="111" t="s">
        <v>294</v>
      </c>
      <c r="D53" s="207"/>
      <c r="E53" s="262"/>
      <c r="F53" s="105">
        <v>0</v>
      </c>
      <c r="G53" s="30">
        <f t="shared" si="2"/>
        <v>0</v>
      </c>
      <c r="H53" s="105">
        <v>0</v>
      </c>
      <c r="I53" s="2">
        <f t="shared" si="3"/>
        <v>0</v>
      </c>
    </row>
    <row r="54" spans="1:15" x14ac:dyDescent="0.2">
      <c r="A54" s="476"/>
      <c r="B54" s="407"/>
      <c r="C54" s="58" t="s">
        <v>19</v>
      </c>
      <c r="D54" s="208">
        <f>SUM(D24:D53)</f>
        <v>1181460</v>
      </c>
      <c r="E54" s="57">
        <f>SUM(E24:E53)</f>
        <v>1834109.89</v>
      </c>
      <c r="F54" s="57">
        <f t="shared" ref="F54:H54" si="4">SUM(F24:F53)</f>
        <v>1444004</v>
      </c>
      <c r="G54" s="57">
        <f t="shared" si="4"/>
        <v>390105.89000000013</v>
      </c>
      <c r="H54" s="57">
        <f t="shared" si="4"/>
        <v>1636104</v>
      </c>
      <c r="L54" s="154"/>
    </row>
    <row r="55" spans="1:15" x14ac:dyDescent="0.2">
      <c r="C55" s="20"/>
      <c r="D55" s="206"/>
      <c r="E55" s="154"/>
      <c r="F55" s="2"/>
      <c r="G55" s="16"/>
    </row>
    <row r="56" spans="1:15" s="26" customFormat="1" ht="38.25" x14ac:dyDescent="0.2">
      <c r="A56" s="474" t="s">
        <v>35</v>
      </c>
      <c r="B56" s="404" t="s">
        <v>177</v>
      </c>
      <c r="C56" s="121" t="s">
        <v>44</v>
      </c>
      <c r="D56" s="50" t="s">
        <v>211</v>
      </c>
      <c r="E56" s="50" t="s">
        <v>413</v>
      </c>
      <c r="F56" s="50" t="s">
        <v>390</v>
      </c>
      <c r="G56" s="50" t="s">
        <v>282</v>
      </c>
      <c r="H56" s="50" t="s">
        <v>391</v>
      </c>
      <c r="O56" s="483"/>
    </row>
    <row r="57" spans="1:15" x14ac:dyDescent="0.2">
      <c r="A57" s="475"/>
      <c r="B57" s="408" t="s">
        <v>234</v>
      </c>
      <c r="C57" s="48" t="s">
        <v>409</v>
      </c>
      <c r="D57" s="30">
        <v>317998</v>
      </c>
      <c r="E57" s="262">
        <v>9952.7199999999993</v>
      </c>
      <c r="F57" s="105">
        <v>435099</v>
      </c>
      <c r="G57" s="30">
        <f>E57-H57</f>
        <v>-425146.28</v>
      </c>
      <c r="H57" s="105">
        <v>435099</v>
      </c>
      <c r="I57" s="232">
        <f t="shared" ref="I57:I73" si="5">(E57/9)*12</f>
        <v>13270.293333333333</v>
      </c>
      <c r="M57" s="2" t="s">
        <v>349</v>
      </c>
      <c r="N57" s="2" t="s">
        <v>425</v>
      </c>
      <c r="O57" s="15">
        <v>-3250</v>
      </c>
    </row>
    <row r="58" spans="1:15" x14ac:dyDescent="0.2">
      <c r="A58" s="475"/>
      <c r="B58" s="409" t="s">
        <v>234</v>
      </c>
      <c r="C58" s="110" t="s">
        <v>97</v>
      </c>
      <c r="D58" s="105">
        <f>-262+24084</f>
        <v>23822</v>
      </c>
      <c r="E58" s="262">
        <v>22338.14</v>
      </c>
      <c r="F58" s="105">
        <v>141929</v>
      </c>
      <c r="G58" s="30">
        <f>E58-H58</f>
        <v>-119590.86</v>
      </c>
      <c r="H58" s="105">
        <v>141929</v>
      </c>
      <c r="I58" s="232">
        <f t="shared" si="5"/>
        <v>29784.186666666668</v>
      </c>
      <c r="M58" s="2" t="s">
        <v>426</v>
      </c>
      <c r="N58" s="2" t="s">
        <v>414</v>
      </c>
      <c r="O58" s="15">
        <v>9952.7199999999993</v>
      </c>
    </row>
    <row r="59" spans="1:15" x14ac:dyDescent="0.2">
      <c r="A59" s="475"/>
      <c r="B59" s="409" t="s">
        <v>386</v>
      </c>
      <c r="C59" s="11" t="s">
        <v>381</v>
      </c>
      <c r="D59" s="105"/>
      <c r="E59" s="262">
        <f>6311+10073</f>
        <v>16384</v>
      </c>
      <c r="F59" s="105">
        <v>0</v>
      </c>
      <c r="G59" s="30">
        <f>E59-H59</f>
        <v>16384</v>
      </c>
      <c r="H59" s="105">
        <v>0</v>
      </c>
      <c r="I59" s="232"/>
      <c r="M59" s="2" t="s">
        <v>427</v>
      </c>
      <c r="N59" s="2" t="s">
        <v>415</v>
      </c>
      <c r="O59" s="15">
        <v>22338.14</v>
      </c>
    </row>
    <row r="60" spans="1:15" x14ac:dyDescent="0.2">
      <c r="A60" s="475"/>
      <c r="B60" s="410"/>
      <c r="C60" s="11" t="s">
        <v>143</v>
      </c>
      <c r="D60" s="30">
        <v>949</v>
      </c>
      <c r="E60" s="262"/>
      <c r="F60" s="105">
        <v>2500</v>
      </c>
      <c r="G60" s="30">
        <f t="shared" ref="G60:G73" si="6">E60-H60</f>
        <v>-2500</v>
      </c>
      <c r="H60" s="105">
        <v>2500</v>
      </c>
      <c r="I60" s="232">
        <f t="shared" si="5"/>
        <v>0</v>
      </c>
      <c r="M60" s="2" t="s">
        <v>428</v>
      </c>
      <c r="N60" s="2" t="s">
        <v>416</v>
      </c>
      <c r="O60" s="15">
        <v>0</v>
      </c>
    </row>
    <row r="61" spans="1:15" x14ac:dyDescent="0.2">
      <c r="A61" s="475"/>
      <c r="B61" s="410"/>
      <c r="C61" s="11" t="s">
        <v>383</v>
      </c>
      <c r="D61" s="30"/>
      <c r="E61" s="262">
        <v>95521</v>
      </c>
      <c r="F61" s="105">
        <v>0</v>
      </c>
      <c r="G61" s="30">
        <f t="shared" si="6"/>
        <v>95521</v>
      </c>
      <c r="H61" s="105">
        <v>0</v>
      </c>
      <c r="I61" s="232"/>
      <c r="M61" s="2" t="s">
        <v>429</v>
      </c>
      <c r="N61" s="2" t="s">
        <v>430</v>
      </c>
      <c r="O61" s="15">
        <v>6311</v>
      </c>
    </row>
    <row r="62" spans="1:15" x14ac:dyDescent="0.2">
      <c r="A62" s="475"/>
      <c r="B62" s="410"/>
      <c r="C62" s="11" t="s">
        <v>385</v>
      </c>
      <c r="D62" s="30"/>
      <c r="E62" s="262"/>
      <c r="F62" s="105">
        <v>0</v>
      </c>
      <c r="G62" s="30">
        <f t="shared" si="6"/>
        <v>0</v>
      </c>
      <c r="H62" s="105">
        <v>0</v>
      </c>
      <c r="I62" s="232"/>
      <c r="M62" s="2" t="s">
        <v>431</v>
      </c>
      <c r="N62" s="2" t="s">
        <v>417</v>
      </c>
      <c r="O62" s="15">
        <v>95521</v>
      </c>
    </row>
    <row r="63" spans="1:15" x14ac:dyDescent="0.2">
      <c r="A63" s="475"/>
      <c r="B63" s="411"/>
      <c r="C63" s="11" t="s">
        <v>296</v>
      </c>
      <c r="D63" s="30">
        <v>13705</v>
      </c>
      <c r="E63" s="262">
        <v>4303</v>
      </c>
      <c r="F63" s="105">
        <v>6000</v>
      </c>
      <c r="G63" s="30">
        <f t="shared" si="6"/>
        <v>-1697</v>
      </c>
      <c r="H63" s="105">
        <v>6000</v>
      </c>
      <c r="I63" s="232">
        <f t="shared" si="5"/>
        <v>5737.333333333333</v>
      </c>
      <c r="M63" s="2" t="s">
        <v>432</v>
      </c>
      <c r="N63" s="2" t="s">
        <v>418</v>
      </c>
      <c r="O63" s="15">
        <v>1562.03</v>
      </c>
    </row>
    <row r="64" spans="1:15" x14ac:dyDescent="0.2">
      <c r="A64" s="475"/>
      <c r="B64" s="411" t="s">
        <v>386</v>
      </c>
      <c r="C64" s="10" t="s">
        <v>142</v>
      </c>
      <c r="D64" s="30">
        <v>1181</v>
      </c>
      <c r="E64" s="262">
        <f>1730+1690.63+14486</f>
        <v>17906.63</v>
      </c>
      <c r="F64" s="105">
        <v>9100</v>
      </c>
      <c r="G64" s="30">
        <f t="shared" si="6"/>
        <v>8806.630000000001</v>
      </c>
      <c r="H64" s="105">
        <v>9100</v>
      </c>
      <c r="I64" s="232">
        <f t="shared" si="5"/>
        <v>23875.506666666668</v>
      </c>
      <c r="M64" s="2" t="s">
        <v>433</v>
      </c>
      <c r="N64" s="2" t="s">
        <v>419</v>
      </c>
      <c r="O64" s="15">
        <v>40832.69</v>
      </c>
    </row>
    <row r="65" spans="1:15" x14ac:dyDescent="0.2">
      <c r="A65" s="475"/>
      <c r="B65" s="410"/>
      <c r="C65" s="11" t="s">
        <v>172</v>
      </c>
      <c r="D65" s="30">
        <f>341+7599</f>
        <v>7940</v>
      </c>
      <c r="E65" s="262">
        <v>3667</v>
      </c>
      <c r="F65" s="105">
        <v>27500</v>
      </c>
      <c r="G65" s="30">
        <f t="shared" si="6"/>
        <v>-23833</v>
      </c>
      <c r="H65" s="105">
        <v>27500</v>
      </c>
      <c r="I65" s="232">
        <f t="shared" si="5"/>
        <v>4889.3333333333339</v>
      </c>
      <c r="M65" s="2" t="s">
        <v>434</v>
      </c>
      <c r="N65" s="2" t="s">
        <v>420</v>
      </c>
      <c r="O65" s="15">
        <v>5950.8</v>
      </c>
    </row>
    <row r="66" spans="1:15" x14ac:dyDescent="0.2">
      <c r="A66" s="475"/>
      <c r="B66" s="410"/>
      <c r="C66" s="11" t="s">
        <v>297</v>
      </c>
      <c r="D66" s="30"/>
      <c r="E66" s="262">
        <v>1562.03</v>
      </c>
      <c r="F66" s="105">
        <v>0</v>
      </c>
      <c r="G66" s="30">
        <f t="shared" si="6"/>
        <v>1562.03</v>
      </c>
      <c r="H66" s="105">
        <v>0</v>
      </c>
      <c r="I66" s="232">
        <f t="shared" si="5"/>
        <v>2082.7066666666665</v>
      </c>
      <c r="M66" s="2" t="s">
        <v>435</v>
      </c>
      <c r="N66" s="2" t="s">
        <v>421</v>
      </c>
      <c r="O66" s="15">
        <v>27556.400000000001</v>
      </c>
    </row>
    <row r="67" spans="1:15" x14ac:dyDescent="0.2">
      <c r="A67" s="475"/>
      <c r="B67" s="410"/>
      <c r="C67" s="11" t="s">
        <v>276</v>
      </c>
      <c r="D67" s="30"/>
      <c r="E67" s="262">
        <v>8167</v>
      </c>
      <c r="F67" s="105">
        <v>1000</v>
      </c>
      <c r="G67" s="30">
        <f t="shared" si="6"/>
        <v>7167</v>
      </c>
      <c r="H67" s="105">
        <v>1000</v>
      </c>
      <c r="I67" s="232">
        <f t="shared" si="5"/>
        <v>10889.333333333334</v>
      </c>
      <c r="M67" s="2" t="s">
        <v>436</v>
      </c>
      <c r="N67" s="2" t="s">
        <v>422</v>
      </c>
      <c r="O67" s="15">
        <v>3682.26</v>
      </c>
    </row>
    <row r="68" spans="1:15" x14ac:dyDescent="0.2">
      <c r="A68" s="475"/>
      <c r="B68" s="411" t="s">
        <v>386</v>
      </c>
      <c r="C68" s="11" t="s">
        <v>333</v>
      </c>
      <c r="D68" s="30"/>
      <c r="E68" s="262">
        <f>10289+5295+5482+107.98+54924</f>
        <v>76097.98</v>
      </c>
      <c r="F68" s="105">
        <v>0</v>
      </c>
      <c r="G68" s="30">
        <f t="shared" si="6"/>
        <v>76097.98</v>
      </c>
      <c r="H68" s="105">
        <v>0</v>
      </c>
      <c r="I68" s="232">
        <f t="shared" si="5"/>
        <v>101463.97333333333</v>
      </c>
      <c r="M68" s="2" t="s">
        <v>437</v>
      </c>
      <c r="N68" s="2" t="s">
        <v>423</v>
      </c>
      <c r="O68" s="15">
        <v>620.34</v>
      </c>
    </row>
    <row r="69" spans="1:15" x14ac:dyDescent="0.2">
      <c r="A69" s="475"/>
      <c r="B69" s="411"/>
      <c r="C69" s="10" t="s">
        <v>270</v>
      </c>
      <c r="D69" s="30"/>
      <c r="E69" s="262">
        <v>40833</v>
      </c>
      <c r="F69" s="105">
        <v>45000</v>
      </c>
      <c r="G69" s="30">
        <f t="shared" si="6"/>
        <v>-4167</v>
      </c>
      <c r="H69" s="105">
        <v>45000</v>
      </c>
      <c r="I69" s="232">
        <f t="shared" si="5"/>
        <v>54444</v>
      </c>
      <c r="M69" s="2" t="s">
        <v>438</v>
      </c>
      <c r="N69" s="2" t="s">
        <v>424</v>
      </c>
      <c r="O69" s="15">
        <v>1729.88</v>
      </c>
    </row>
    <row r="70" spans="1:15" x14ac:dyDescent="0.2">
      <c r="A70" s="475"/>
      <c r="B70" s="411"/>
      <c r="C70" s="11" t="s">
        <v>301</v>
      </c>
      <c r="D70" s="30"/>
      <c r="E70" s="262">
        <v>5951</v>
      </c>
      <c r="F70" s="105">
        <v>0</v>
      </c>
      <c r="G70" s="30">
        <f t="shared" si="6"/>
        <v>5951</v>
      </c>
      <c r="H70" s="105">
        <v>0</v>
      </c>
      <c r="I70" s="232"/>
      <c r="M70" s="2" t="s">
        <v>439</v>
      </c>
      <c r="N70" s="2" t="s">
        <v>440</v>
      </c>
      <c r="O70" s="15">
        <v>8166.8</v>
      </c>
    </row>
    <row r="71" spans="1:15" x14ac:dyDescent="0.2">
      <c r="A71" s="475"/>
      <c r="B71" s="410"/>
      <c r="C71" s="10" t="s">
        <v>411</v>
      </c>
      <c r="D71" s="30">
        <f>1094</f>
        <v>1094</v>
      </c>
      <c r="E71" s="262">
        <v>600</v>
      </c>
      <c r="F71" s="105">
        <v>15000</v>
      </c>
      <c r="G71" s="30">
        <f t="shared" si="6"/>
        <v>-14400</v>
      </c>
      <c r="H71" s="105">
        <v>15000</v>
      </c>
      <c r="I71" s="232">
        <f t="shared" si="5"/>
        <v>800</v>
      </c>
      <c r="M71" s="2" t="s">
        <v>441</v>
      </c>
      <c r="N71" s="2" t="s">
        <v>442</v>
      </c>
      <c r="O71" s="15">
        <v>3666.81</v>
      </c>
    </row>
    <row r="72" spans="1:15" x14ac:dyDescent="0.2">
      <c r="A72" s="475"/>
      <c r="B72" s="410"/>
      <c r="C72" s="11" t="s">
        <v>298</v>
      </c>
      <c r="D72" s="30"/>
      <c r="E72" s="262"/>
      <c r="F72" s="105">
        <v>0</v>
      </c>
      <c r="G72" s="30">
        <f t="shared" si="6"/>
        <v>0</v>
      </c>
      <c r="H72" s="105">
        <v>0</v>
      </c>
      <c r="I72" s="232">
        <f t="shared" si="5"/>
        <v>0</v>
      </c>
      <c r="M72" s="2" t="s">
        <v>443</v>
      </c>
      <c r="N72" s="2" t="s">
        <v>444</v>
      </c>
      <c r="O72" s="15">
        <v>600</v>
      </c>
    </row>
    <row r="73" spans="1:15" ht="14.25" customHeight="1" x14ac:dyDescent="0.2">
      <c r="A73" s="475"/>
      <c r="B73" s="410"/>
      <c r="C73" s="11" t="s">
        <v>332</v>
      </c>
      <c r="D73" s="30"/>
      <c r="E73" s="207">
        <v>27556</v>
      </c>
      <c r="F73" s="105">
        <v>12500</v>
      </c>
      <c r="G73" s="30">
        <f t="shared" si="6"/>
        <v>15056</v>
      </c>
      <c r="H73" s="105">
        <v>12500</v>
      </c>
      <c r="I73" s="232">
        <f t="shared" si="5"/>
        <v>36741.333333333336</v>
      </c>
    </row>
    <row r="74" spans="1:15" x14ac:dyDescent="0.2">
      <c r="A74" s="476"/>
      <c r="B74" s="407"/>
      <c r="C74" s="58" t="s">
        <v>33</v>
      </c>
      <c r="D74" s="208">
        <f>SUM(D57:D73)</f>
        <v>366689</v>
      </c>
      <c r="E74" s="57">
        <f>SUM(E57:E73)</f>
        <v>330839.5</v>
      </c>
      <c r="F74" s="57">
        <f>SUM(F57:F73)</f>
        <v>695628</v>
      </c>
      <c r="G74" s="57">
        <f>SUM(G57:G73)</f>
        <v>-364788.5</v>
      </c>
      <c r="H74" s="57">
        <f>SUM(H57:H73)</f>
        <v>695628</v>
      </c>
    </row>
    <row r="75" spans="1:15" x14ac:dyDescent="0.2">
      <c r="E75" s="291"/>
    </row>
    <row r="78" spans="1:15" x14ac:dyDescent="0.2">
      <c r="B78" s="414"/>
    </row>
  </sheetData>
  <mergeCells count="5">
    <mergeCell ref="A1:F1"/>
    <mergeCell ref="A2:F2"/>
    <mergeCell ref="A56:A74"/>
    <mergeCell ref="A23:A54"/>
    <mergeCell ref="A3:A20"/>
  </mergeCells>
  <phoneticPr fontId="2" type="noConversion"/>
  <printOptions horizontalCentered="1"/>
  <pageMargins left="0.75" right="0.5" top="0.25" bottom="0.25" header="0.5" footer="0.25"/>
  <pageSetup scale="80" fitToHeight="0" orientation="portrait" r:id="rId1"/>
  <headerFooter alignWithMargins="0">
    <oddHeader xml:space="preserve">&amp;RPrint Date: &amp;D   </oddHeader>
    <oddFooter>Page &amp;P&amp;RFy23 FINAL Budget Presentation to Council processed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N23"/>
  <sheetViews>
    <sheetView workbookViewId="0">
      <pane ySplit="1" topLeftCell="A2" activePane="bottomLeft" state="frozen"/>
      <selection activeCell="H37" sqref="H37"/>
      <selection pane="bottomLeft" activeCell="F38" sqref="F38"/>
    </sheetView>
  </sheetViews>
  <sheetFormatPr defaultRowHeight="12.75" x14ac:dyDescent="0.2"/>
  <cols>
    <col min="1" max="1" width="8" style="2" customWidth="1"/>
    <col min="2" max="2" width="14.42578125" style="2" customWidth="1"/>
    <col min="3" max="3" width="31.85546875" style="24" customWidth="1"/>
    <col min="4" max="4" width="13.140625" style="24" hidden="1" customWidth="1"/>
    <col min="5" max="5" width="13.42578125" style="24" customWidth="1"/>
    <col min="6" max="6" width="12.85546875" style="210" bestFit="1" customWidth="1"/>
    <col min="7" max="7" width="15.7109375" style="2" customWidth="1"/>
    <col min="8" max="8" width="13.42578125" style="2" customWidth="1"/>
    <col min="9" max="9" width="12" style="2" hidden="1" customWidth="1"/>
    <col min="10" max="10" width="14.28515625" style="242" customWidth="1"/>
    <col min="11" max="11" width="9.140625" style="2"/>
    <col min="12" max="12" width="12.140625" style="2" bestFit="1" customWidth="1"/>
    <col min="13" max="13" width="43.85546875" style="2" bestFit="1" customWidth="1"/>
    <col min="14" max="14" width="11.28515625" style="15" bestFit="1" customWidth="1"/>
    <col min="15" max="16384" width="9.140625" style="2"/>
  </cols>
  <sheetData>
    <row r="1" spans="1:8" x14ac:dyDescent="0.2">
      <c r="C1" s="78"/>
      <c r="D1" s="78"/>
      <c r="E1" s="78"/>
      <c r="F1" s="211"/>
    </row>
    <row r="2" spans="1:8" ht="12.75" customHeight="1" x14ac:dyDescent="0.2">
      <c r="A2" s="471" t="s">
        <v>391</v>
      </c>
      <c r="B2" s="471"/>
      <c r="C2" s="471"/>
      <c r="D2" s="471"/>
      <c r="E2" s="471"/>
      <c r="F2" s="471"/>
    </row>
    <row r="3" spans="1:8" ht="12.75" customHeight="1" x14ac:dyDescent="0.2">
      <c r="A3" s="471" t="s">
        <v>34</v>
      </c>
      <c r="B3" s="471"/>
      <c r="C3" s="471"/>
      <c r="D3" s="471"/>
      <c r="E3" s="471"/>
      <c r="F3" s="471"/>
    </row>
    <row r="4" spans="1:8" ht="12.75" customHeight="1" x14ac:dyDescent="0.2">
      <c r="A4" s="195"/>
    </row>
    <row r="5" spans="1:8" ht="27.75" customHeight="1" x14ac:dyDescent="0.2">
      <c r="A5" s="453" t="s">
        <v>96</v>
      </c>
      <c r="B5" s="196" t="s">
        <v>0</v>
      </c>
      <c r="C5" s="197" t="s">
        <v>1</v>
      </c>
      <c r="D5" s="50" t="s">
        <v>211</v>
      </c>
      <c r="E5" s="50" t="s">
        <v>413</v>
      </c>
      <c r="F5" s="50" t="s">
        <v>390</v>
      </c>
      <c r="G5" s="50" t="s">
        <v>282</v>
      </c>
      <c r="H5" s="50" t="s">
        <v>391</v>
      </c>
    </row>
    <row r="6" spans="1:8" ht="12.75" customHeight="1" x14ac:dyDescent="0.2">
      <c r="A6" s="454"/>
      <c r="B6" s="223" t="s">
        <v>233</v>
      </c>
      <c r="C6" s="10" t="s">
        <v>120</v>
      </c>
      <c r="D6" s="198">
        <v>220973</v>
      </c>
      <c r="E6" s="15">
        <v>219462.64</v>
      </c>
      <c r="F6" s="198">
        <v>402884</v>
      </c>
      <c r="G6" s="30">
        <f>E6-H6</f>
        <v>-183421.36</v>
      </c>
      <c r="H6" s="198">
        <v>402884</v>
      </c>
    </row>
    <row r="7" spans="1:8" ht="12.75" customHeight="1" x14ac:dyDescent="0.2">
      <c r="A7" s="454"/>
      <c r="B7" s="128"/>
      <c r="C7" s="10" t="s">
        <v>176</v>
      </c>
      <c r="D7" s="30">
        <f>404+11520</f>
        <v>11924</v>
      </c>
      <c r="E7" s="15">
        <v>95363.91</v>
      </c>
      <c r="F7" s="105">
        <v>131422</v>
      </c>
      <c r="G7" s="30">
        <f t="shared" ref="G7:G21" si="0">E7-H7</f>
        <v>-36058.089999999997</v>
      </c>
      <c r="H7" s="105">
        <v>131422</v>
      </c>
    </row>
    <row r="8" spans="1:8" ht="12.75" customHeight="1" x14ac:dyDescent="0.2">
      <c r="A8" s="454"/>
      <c r="B8" s="110"/>
      <c r="C8" s="11" t="s">
        <v>363</v>
      </c>
      <c r="D8" s="30"/>
      <c r="E8" s="262">
        <f>804+3311.24</f>
        <v>4115.24</v>
      </c>
      <c r="F8" s="105">
        <v>0</v>
      </c>
      <c r="G8" s="30">
        <f t="shared" si="0"/>
        <v>3615.24</v>
      </c>
      <c r="H8" s="105">
        <v>500</v>
      </c>
    </row>
    <row r="9" spans="1:8" ht="12.75" customHeight="1" x14ac:dyDescent="0.2">
      <c r="A9" s="454"/>
      <c r="B9" s="110"/>
      <c r="C9" s="11" t="s">
        <v>381</v>
      </c>
      <c r="D9" s="30"/>
      <c r="E9" s="262"/>
      <c r="F9" s="105">
        <v>0</v>
      </c>
      <c r="G9" s="30">
        <f t="shared" si="0"/>
        <v>0</v>
      </c>
      <c r="H9" s="105">
        <v>0</v>
      </c>
    </row>
    <row r="10" spans="1:8" ht="12.75" customHeight="1" x14ac:dyDescent="0.2">
      <c r="A10" s="454"/>
      <c r="B10" s="110"/>
      <c r="C10" s="10" t="s">
        <v>276</v>
      </c>
      <c r="D10" s="30">
        <f>6271-3</f>
        <v>6268</v>
      </c>
      <c r="E10" s="262"/>
      <c r="F10" s="105">
        <v>30000</v>
      </c>
      <c r="G10" s="30">
        <f t="shared" si="0"/>
        <v>-48000</v>
      </c>
      <c r="H10" s="105">
        <v>48000</v>
      </c>
    </row>
    <row r="11" spans="1:8" ht="12.75" customHeight="1" x14ac:dyDescent="0.2">
      <c r="A11" s="454"/>
      <c r="B11" s="110"/>
      <c r="C11" s="11" t="s">
        <v>291</v>
      </c>
      <c r="D11" s="30">
        <v>19639</v>
      </c>
      <c r="E11" s="262">
        <v>65230</v>
      </c>
      <c r="F11" s="105">
        <v>35000</v>
      </c>
      <c r="G11" s="30">
        <f t="shared" si="0"/>
        <v>30230</v>
      </c>
      <c r="H11" s="105">
        <v>35000</v>
      </c>
    </row>
    <row r="12" spans="1:8" ht="12.75" customHeight="1" x14ac:dyDescent="0.2">
      <c r="A12" s="454"/>
      <c r="B12" s="128"/>
      <c r="C12" s="10" t="s">
        <v>109</v>
      </c>
      <c r="D12" s="30">
        <f>684+13181</f>
        <v>13865</v>
      </c>
      <c r="E12" s="262">
        <v>699.99</v>
      </c>
      <c r="F12" s="105">
        <v>30000</v>
      </c>
      <c r="G12" s="30">
        <f t="shared" si="0"/>
        <v>-14300.01</v>
      </c>
      <c r="H12" s="105">
        <v>15000</v>
      </c>
    </row>
    <row r="13" spans="1:8" ht="12.75" customHeight="1" x14ac:dyDescent="0.2">
      <c r="A13" s="454"/>
      <c r="B13" s="128"/>
      <c r="C13" s="10" t="s">
        <v>174</v>
      </c>
      <c r="D13" s="30">
        <v>35036</v>
      </c>
      <c r="E13" s="262"/>
      <c r="F13" s="105">
        <v>0</v>
      </c>
      <c r="G13" s="30">
        <f t="shared" si="0"/>
        <v>0</v>
      </c>
      <c r="H13" s="105">
        <v>0</v>
      </c>
    </row>
    <row r="14" spans="1:8" ht="12.75" customHeight="1" x14ac:dyDescent="0.2">
      <c r="A14" s="454"/>
      <c r="B14" s="128"/>
      <c r="C14" s="11" t="s">
        <v>330</v>
      </c>
      <c r="D14" s="30">
        <v>1400</v>
      </c>
      <c r="E14" s="262">
        <v>5597.28</v>
      </c>
      <c r="F14" s="105">
        <v>0</v>
      </c>
      <c r="G14" s="30">
        <f t="shared" si="0"/>
        <v>4097.28</v>
      </c>
      <c r="H14" s="105">
        <v>1500</v>
      </c>
    </row>
    <row r="15" spans="1:8" ht="12.75" customHeight="1" x14ac:dyDescent="0.2">
      <c r="A15" s="454"/>
      <c r="B15" s="110"/>
      <c r="C15" s="10" t="s">
        <v>175</v>
      </c>
      <c r="D15" s="30">
        <v>672</v>
      </c>
      <c r="E15" s="15">
        <v>34125</v>
      </c>
      <c r="F15" s="105">
        <v>1200</v>
      </c>
      <c r="G15" s="30">
        <f t="shared" si="0"/>
        <v>32925</v>
      </c>
      <c r="H15" s="105">
        <v>1200</v>
      </c>
    </row>
    <row r="16" spans="1:8" ht="12.75" customHeight="1" x14ac:dyDescent="0.2">
      <c r="A16" s="454"/>
      <c r="B16" s="128"/>
      <c r="C16" s="10" t="s">
        <v>277</v>
      </c>
      <c r="D16" s="30">
        <v>1853</v>
      </c>
      <c r="E16" s="15">
        <v>2315.73</v>
      </c>
      <c r="F16" s="105">
        <v>1500</v>
      </c>
      <c r="G16" s="30">
        <f t="shared" si="0"/>
        <v>1315.73</v>
      </c>
      <c r="H16" s="105">
        <v>1000</v>
      </c>
    </row>
    <row r="17" spans="1:8" ht="12.75" customHeight="1" x14ac:dyDescent="0.2">
      <c r="A17" s="454"/>
      <c r="B17" s="128"/>
      <c r="C17" s="11" t="s">
        <v>301</v>
      </c>
      <c r="D17" s="30">
        <f>3875+8346</f>
        <v>12221</v>
      </c>
      <c r="E17" s="15">
        <v>1277.8800000000001</v>
      </c>
      <c r="F17" s="105">
        <v>1500</v>
      </c>
      <c r="G17" s="30">
        <f t="shared" si="0"/>
        <v>-222.11999999999989</v>
      </c>
      <c r="H17" s="105">
        <v>1500</v>
      </c>
    </row>
    <row r="18" spans="1:8" ht="12.75" customHeight="1" x14ac:dyDescent="0.2">
      <c r="A18" s="454"/>
      <c r="B18" s="110"/>
      <c r="C18" s="10" t="s">
        <v>205</v>
      </c>
      <c r="D18" s="30">
        <v>44708</v>
      </c>
      <c r="E18" s="15">
        <v>2535.1</v>
      </c>
      <c r="F18" s="105">
        <v>64000</v>
      </c>
      <c r="G18" s="30">
        <f t="shared" si="0"/>
        <v>-57464.9</v>
      </c>
      <c r="H18" s="105">
        <v>60000</v>
      </c>
    </row>
    <row r="19" spans="1:8" ht="12.75" customHeight="1" x14ac:dyDescent="0.2">
      <c r="A19" s="454"/>
      <c r="B19" s="110"/>
      <c r="C19" s="10" t="s">
        <v>193</v>
      </c>
      <c r="D19" s="30">
        <v>4079</v>
      </c>
      <c r="E19" s="15">
        <v>6326.2</v>
      </c>
      <c r="F19" s="105">
        <v>0</v>
      </c>
      <c r="G19" s="30">
        <f t="shared" si="0"/>
        <v>6326.2</v>
      </c>
      <c r="H19" s="105">
        <v>0</v>
      </c>
    </row>
    <row r="20" spans="1:8" ht="12.75" customHeight="1" x14ac:dyDescent="0.2">
      <c r="A20" s="454"/>
      <c r="B20" s="110"/>
      <c r="C20" s="11" t="s">
        <v>307</v>
      </c>
      <c r="D20" s="217"/>
      <c r="E20" s="262"/>
      <c r="F20" s="105">
        <v>5000</v>
      </c>
      <c r="G20" s="30">
        <f t="shared" si="0"/>
        <v>-5000</v>
      </c>
      <c r="H20" s="105">
        <v>5000</v>
      </c>
    </row>
    <row r="21" spans="1:8" ht="12.75" customHeight="1" x14ac:dyDescent="0.2">
      <c r="A21" s="454"/>
      <c r="B21" s="110"/>
      <c r="C21" s="10" t="s">
        <v>16</v>
      </c>
      <c r="D21" s="217"/>
      <c r="E21" s="276">
        <v>4598</v>
      </c>
      <c r="F21" s="199">
        <v>17000</v>
      </c>
      <c r="G21" s="30">
        <f t="shared" si="0"/>
        <v>-11402</v>
      </c>
      <c r="H21" s="199">
        <v>16000</v>
      </c>
    </row>
    <row r="22" spans="1:8" ht="27.75" customHeight="1" thickBot="1" x14ac:dyDescent="0.25">
      <c r="A22" s="455"/>
      <c r="B22" s="153"/>
      <c r="C22" s="28" t="s">
        <v>78</v>
      </c>
      <c r="D22" s="205">
        <f>SUM(D6:D21)</f>
        <v>372638</v>
      </c>
      <c r="E22" s="64">
        <f>SUM(E6:E21)</f>
        <v>441646.97000000003</v>
      </c>
      <c r="F22" s="64">
        <f>SUM(F6:F21)</f>
        <v>719506</v>
      </c>
      <c r="G22" s="64">
        <f>SUM(G6:G21)</f>
        <v>-277359.02999999997</v>
      </c>
      <c r="H22" s="64">
        <f>SUM(H6:H21)</f>
        <v>719006</v>
      </c>
    </row>
    <row r="23" spans="1:8" ht="12.75" customHeight="1" thickTop="1" x14ac:dyDescent="0.2"/>
  </sheetData>
  <mergeCells count="3">
    <mergeCell ref="A2:F2"/>
    <mergeCell ref="A3:F3"/>
    <mergeCell ref="A5:A22"/>
  </mergeCells>
  <phoneticPr fontId="2" type="noConversion"/>
  <printOptions horizontalCentered="1"/>
  <pageMargins left="0.25" right="0" top="0.5" bottom="0.5" header="0.5" footer="0.25"/>
  <pageSetup scale="95" fitToHeight="0" orientation="portrait" r:id="rId1"/>
  <headerFooter alignWithMargins="0">
    <oddHeader xml:space="preserve">&amp;RPrint Date: &amp;D   </oddHeader>
    <oddFooter>Page &amp;P&amp;RFy23 FINAL Budget Presentation to Council processed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I84"/>
  <sheetViews>
    <sheetView topLeftCell="B14" zoomScale="115" workbookViewId="0">
      <selection activeCell="G48" sqref="G48"/>
    </sheetView>
  </sheetViews>
  <sheetFormatPr defaultRowHeight="12.75" x14ac:dyDescent="0.2"/>
  <cols>
    <col min="1" max="1" width="8" style="3" customWidth="1"/>
    <col min="2" max="2" width="14" style="2" customWidth="1"/>
    <col min="3" max="3" width="31.85546875" style="2" customWidth="1"/>
    <col min="4" max="4" width="14" style="21" customWidth="1"/>
    <col min="5" max="5" width="13.140625" style="2" hidden="1" customWidth="1"/>
    <col min="6" max="6" width="12.42578125" style="214" customWidth="1"/>
    <col min="7" max="7" width="12.85546875" style="2" bestFit="1" customWidth="1"/>
    <col min="8" max="8" width="12.7109375" style="2" customWidth="1"/>
    <col min="9" max="9" width="11.28515625" style="230" bestFit="1" customWidth="1"/>
    <col min="10" max="16384" width="9.140625" style="2"/>
  </cols>
  <sheetData>
    <row r="1" spans="1:9" ht="20.25" x14ac:dyDescent="0.2">
      <c r="A1" s="471" t="s">
        <v>390</v>
      </c>
      <c r="B1" s="471"/>
      <c r="C1" s="471"/>
      <c r="D1" s="471"/>
      <c r="E1" s="471"/>
      <c r="F1" s="471"/>
    </row>
    <row r="2" spans="1:9" ht="20.25" x14ac:dyDescent="0.2">
      <c r="A2" s="471" t="s">
        <v>105</v>
      </c>
      <c r="B2" s="471"/>
      <c r="C2" s="471"/>
      <c r="D2" s="471"/>
      <c r="E2" s="471"/>
      <c r="F2" s="471"/>
    </row>
    <row r="3" spans="1:9" ht="21" thickBot="1" x14ac:dyDescent="0.25">
      <c r="A3" s="54"/>
      <c r="B3" s="54"/>
      <c r="C3" s="54"/>
      <c r="D3" s="54"/>
      <c r="E3" s="54"/>
      <c r="F3" s="212"/>
    </row>
    <row r="4" spans="1:9" ht="39" thickBot="1" x14ac:dyDescent="0.25">
      <c r="A4" s="478" t="s">
        <v>52</v>
      </c>
      <c r="B4" s="352" t="s">
        <v>0</v>
      </c>
      <c r="C4" s="353" t="s">
        <v>1</v>
      </c>
      <c r="D4" s="50" t="s">
        <v>413</v>
      </c>
      <c r="E4" s="50" t="s">
        <v>390</v>
      </c>
      <c r="F4" s="50" t="s">
        <v>390</v>
      </c>
      <c r="G4" s="50" t="s">
        <v>282</v>
      </c>
      <c r="H4" s="50" t="s">
        <v>391</v>
      </c>
    </row>
    <row r="5" spans="1:9" x14ac:dyDescent="0.2">
      <c r="A5" s="479"/>
      <c r="B5" s="354" t="s">
        <v>213</v>
      </c>
      <c r="C5" s="348" t="s">
        <v>194</v>
      </c>
      <c r="D5" s="350">
        <v>224446</v>
      </c>
      <c r="E5" s="350">
        <v>209823</v>
      </c>
      <c r="F5" s="350">
        <v>250000</v>
      </c>
      <c r="G5" s="350">
        <f>D5-F5</f>
        <v>-25554</v>
      </c>
      <c r="H5" s="350">
        <v>325000</v>
      </c>
    </row>
    <row r="6" spans="1:9" x14ac:dyDescent="0.2">
      <c r="A6" s="479"/>
      <c r="B6" s="159" t="s">
        <v>214</v>
      </c>
      <c r="C6" s="344" t="s">
        <v>195</v>
      </c>
      <c r="D6" s="346">
        <v>1333264</v>
      </c>
      <c r="E6" s="346">
        <v>769139</v>
      </c>
      <c r="F6" s="346">
        <v>1000000</v>
      </c>
      <c r="G6" s="346">
        <f>D6-F6</f>
        <v>333264</v>
      </c>
      <c r="H6" s="346">
        <v>1250000</v>
      </c>
    </row>
    <row r="7" spans="1:9" x14ac:dyDescent="0.2">
      <c r="A7" s="479"/>
      <c r="B7" s="159"/>
      <c r="C7" s="344"/>
      <c r="D7" s="346"/>
      <c r="E7" s="346">
        <v>0</v>
      </c>
      <c r="F7" s="346">
        <v>0</v>
      </c>
      <c r="G7" s="346">
        <f>E7-F7</f>
        <v>0</v>
      </c>
      <c r="H7" s="346">
        <v>0</v>
      </c>
    </row>
    <row r="8" spans="1:9" x14ac:dyDescent="0.2">
      <c r="A8" s="479"/>
      <c r="B8" s="11"/>
      <c r="C8" s="344"/>
      <c r="D8" s="346"/>
      <c r="E8" s="346">
        <v>0</v>
      </c>
      <c r="F8" s="346"/>
      <c r="G8" s="346"/>
      <c r="H8" s="346">
        <v>0</v>
      </c>
    </row>
    <row r="9" spans="1:9" x14ac:dyDescent="0.2">
      <c r="A9" s="479"/>
      <c r="B9" s="11"/>
      <c r="C9" s="344"/>
      <c r="D9" s="346"/>
      <c r="E9" s="346">
        <v>0</v>
      </c>
      <c r="F9" s="346"/>
      <c r="G9" s="346"/>
      <c r="H9" s="346">
        <v>0</v>
      </c>
    </row>
    <row r="10" spans="1:9" ht="13.5" thickBot="1" x14ac:dyDescent="0.25">
      <c r="A10" s="479"/>
      <c r="B10" s="157"/>
      <c r="C10" s="8" t="s">
        <v>45</v>
      </c>
      <c r="D10" s="342">
        <f>SUM(D5:D9)</f>
        <v>1557710</v>
      </c>
      <c r="E10" s="343">
        <f>SUM(E5:E9)</f>
        <v>978962</v>
      </c>
      <c r="F10" s="343">
        <f>SUM(F5:F9)</f>
        <v>1250000</v>
      </c>
      <c r="G10" s="343">
        <f>SUM(G5:G9)</f>
        <v>307710</v>
      </c>
      <c r="H10" s="343">
        <f>SUM(H5:H9)</f>
        <v>1575000</v>
      </c>
    </row>
    <row r="11" spans="1:9" ht="14.25" thickTop="1" thickBot="1" x14ac:dyDescent="0.25">
      <c r="D11" s="213"/>
      <c r="E11" s="158"/>
      <c r="F11" s="158"/>
      <c r="G11" s="158"/>
      <c r="H11" s="158"/>
      <c r="I11" s="231"/>
    </row>
    <row r="12" spans="1:9" ht="39" thickBot="1" x14ac:dyDescent="0.25">
      <c r="A12" s="478" t="s">
        <v>53</v>
      </c>
      <c r="B12" s="352" t="s">
        <v>0</v>
      </c>
      <c r="C12" s="353" t="s">
        <v>1</v>
      </c>
      <c r="D12" s="50" t="s">
        <v>413</v>
      </c>
      <c r="E12" s="50" t="s">
        <v>390</v>
      </c>
      <c r="F12" s="50" t="s">
        <v>282</v>
      </c>
      <c r="G12" s="50" t="s">
        <v>391</v>
      </c>
      <c r="H12" s="50" t="s">
        <v>391</v>
      </c>
    </row>
    <row r="13" spans="1:9" x14ac:dyDescent="0.2">
      <c r="A13" s="478"/>
      <c r="B13" s="348" t="s">
        <v>215</v>
      </c>
      <c r="C13" s="349" t="s">
        <v>306</v>
      </c>
      <c r="D13" s="481">
        <v>19347.150000000001</v>
      </c>
      <c r="E13" s="351">
        <v>21547</v>
      </c>
      <c r="F13" s="350">
        <v>41361</v>
      </c>
      <c r="G13" s="350">
        <f>D13-H13</f>
        <v>-22013.85</v>
      </c>
      <c r="H13" s="350">
        <v>41361</v>
      </c>
    </row>
    <row r="14" spans="1:9" x14ac:dyDescent="0.2">
      <c r="A14" s="478"/>
      <c r="B14" s="344" t="s">
        <v>267</v>
      </c>
      <c r="C14" s="344" t="s">
        <v>84</v>
      </c>
      <c r="D14" s="481">
        <v>1480.07</v>
      </c>
      <c r="E14" s="350">
        <v>9821</v>
      </c>
      <c r="F14" s="350">
        <v>4393</v>
      </c>
      <c r="G14" s="350">
        <f t="shared" ref="G14:G21" si="0">D14-H14</f>
        <v>-2912.9300000000003</v>
      </c>
      <c r="H14" s="350">
        <v>4393</v>
      </c>
    </row>
    <row r="15" spans="1:9" x14ac:dyDescent="0.2">
      <c r="A15" s="478"/>
      <c r="B15" s="344" t="s">
        <v>225</v>
      </c>
      <c r="C15" s="344" t="s">
        <v>207</v>
      </c>
      <c r="D15" s="350"/>
      <c r="E15" s="350">
        <v>0</v>
      </c>
      <c r="F15" s="350">
        <v>24811</v>
      </c>
      <c r="G15" s="350">
        <f t="shared" si="0"/>
        <v>-24811</v>
      </c>
      <c r="H15" s="350">
        <v>24811</v>
      </c>
    </row>
    <row r="16" spans="1:9" x14ac:dyDescent="0.2">
      <c r="A16" s="478"/>
      <c r="B16" s="344" t="s">
        <v>219</v>
      </c>
      <c r="C16" s="344" t="s">
        <v>8</v>
      </c>
      <c r="D16" s="350">
        <v>297.39999999999998</v>
      </c>
      <c r="E16" s="350">
        <v>6339</v>
      </c>
      <c r="F16" s="350">
        <v>5000</v>
      </c>
      <c r="G16" s="350">
        <f t="shared" si="0"/>
        <v>-4702.6000000000004</v>
      </c>
      <c r="H16" s="350">
        <v>5000</v>
      </c>
    </row>
    <row r="17" spans="1:8" x14ac:dyDescent="0.2">
      <c r="A17" s="478"/>
      <c r="B17" s="344" t="s">
        <v>224</v>
      </c>
      <c r="C17" s="344" t="s">
        <v>9</v>
      </c>
      <c r="D17" s="350">
        <v>167893</v>
      </c>
      <c r="E17" s="350">
        <v>134358</v>
      </c>
      <c r="F17" s="350">
        <v>176000</v>
      </c>
      <c r="G17" s="350">
        <f t="shared" si="0"/>
        <v>-8107</v>
      </c>
      <c r="H17" s="350">
        <v>176000</v>
      </c>
    </row>
    <row r="18" spans="1:8" x14ac:dyDescent="0.2">
      <c r="A18" s="478"/>
      <c r="B18" s="345" t="s">
        <v>340</v>
      </c>
      <c r="C18" s="345" t="s">
        <v>341</v>
      </c>
      <c r="D18" s="350">
        <v>5466</v>
      </c>
      <c r="E18" s="350">
        <v>2238</v>
      </c>
      <c r="F18" s="350">
        <v>0</v>
      </c>
      <c r="G18" s="350">
        <f t="shared" si="0"/>
        <v>5466</v>
      </c>
      <c r="H18" s="350">
        <v>0</v>
      </c>
    </row>
    <row r="19" spans="1:8" x14ac:dyDescent="0.2">
      <c r="A19" s="478"/>
      <c r="B19" s="345" t="s">
        <v>342</v>
      </c>
      <c r="C19" s="345" t="s">
        <v>343</v>
      </c>
      <c r="D19" s="350">
        <v>3219.75</v>
      </c>
      <c r="E19" s="350">
        <v>-193</v>
      </c>
      <c r="F19" s="350">
        <v>0</v>
      </c>
      <c r="G19" s="350">
        <f t="shared" si="0"/>
        <v>3219.75</v>
      </c>
      <c r="H19" s="350">
        <v>0</v>
      </c>
    </row>
    <row r="20" spans="1:8" x14ac:dyDescent="0.2">
      <c r="A20" s="478"/>
      <c r="B20" s="345" t="s">
        <v>345</v>
      </c>
      <c r="C20" s="344" t="s">
        <v>3</v>
      </c>
      <c r="D20" s="350">
        <v>648.78</v>
      </c>
      <c r="E20" s="350">
        <v>1198</v>
      </c>
      <c r="F20" s="350">
        <v>12000</v>
      </c>
      <c r="G20" s="350">
        <f t="shared" si="0"/>
        <v>-11351.22</v>
      </c>
      <c r="H20" s="350">
        <v>12000</v>
      </c>
    </row>
    <row r="21" spans="1:8" x14ac:dyDescent="0.2">
      <c r="A21" s="478"/>
      <c r="B21" s="345" t="s">
        <v>334</v>
      </c>
      <c r="C21" s="345" t="s">
        <v>338</v>
      </c>
      <c r="D21" s="350"/>
      <c r="E21" s="350">
        <v>0</v>
      </c>
      <c r="F21" s="350">
        <v>0</v>
      </c>
      <c r="G21" s="350">
        <f t="shared" si="0"/>
        <v>0</v>
      </c>
      <c r="H21" s="350">
        <v>0</v>
      </c>
    </row>
    <row r="22" spans="1:8" x14ac:dyDescent="0.2">
      <c r="A22" s="478"/>
      <c r="B22" s="345" t="s">
        <v>334</v>
      </c>
      <c r="C22" s="345" t="s">
        <v>335</v>
      </c>
      <c r="D22" s="350"/>
      <c r="E22" s="350"/>
      <c r="F22" s="350">
        <v>0</v>
      </c>
      <c r="G22" s="350">
        <f>D22-H22</f>
        <v>0</v>
      </c>
      <c r="H22" s="350">
        <v>0</v>
      </c>
    </row>
    <row r="23" spans="1:8" x14ac:dyDescent="0.2">
      <c r="A23" s="478"/>
      <c r="B23" s="344" t="s">
        <v>216</v>
      </c>
      <c r="C23" s="344" t="s">
        <v>6</v>
      </c>
      <c r="D23" s="350">
        <v>80013</v>
      </c>
      <c r="E23" s="350">
        <v>95678</v>
      </c>
      <c r="F23" s="350">
        <v>64624</v>
      </c>
      <c r="G23" s="350">
        <f t="shared" ref="G23:G40" si="1">D23-H23</f>
        <v>15389</v>
      </c>
      <c r="H23" s="350">
        <v>64624</v>
      </c>
    </row>
    <row r="24" spans="1:8" x14ac:dyDescent="0.2">
      <c r="A24" s="478"/>
      <c r="B24" s="344" t="s">
        <v>217</v>
      </c>
      <c r="C24" s="344" t="s">
        <v>32</v>
      </c>
      <c r="D24" s="350">
        <v>30894</v>
      </c>
      <c r="E24" s="350">
        <v>52999</v>
      </c>
      <c r="F24" s="350">
        <v>16739</v>
      </c>
      <c r="G24" s="350">
        <f t="shared" si="1"/>
        <v>14155</v>
      </c>
      <c r="H24" s="350">
        <v>16739</v>
      </c>
    </row>
    <row r="25" spans="1:8" x14ac:dyDescent="0.2">
      <c r="A25" s="478"/>
      <c r="B25" s="345" t="s">
        <v>302</v>
      </c>
      <c r="C25" s="345" t="s">
        <v>303</v>
      </c>
      <c r="D25" s="350"/>
      <c r="E25" s="350">
        <v>0</v>
      </c>
      <c r="F25" s="350">
        <v>500</v>
      </c>
      <c r="G25" s="350">
        <f t="shared" si="1"/>
        <v>-500</v>
      </c>
      <c r="H25" s="350">
        <v>500</v>
      </c>
    </row>
    <row r="26" spans="1:8" x14ac:dyDescent="0.2">
      <c r="A26" s="478"/>
      <c r="B26" s="344" t="s">
        <v>218</v>
      </c>
      <c r="C26" s="344" t="s">
        <v>7</v>
      </c>
      <c r="D26" s="350">
        <v>228</v>
      </c>
      <c r="E26" s="350">
        <v>1876</v>
      </c>
      <c r="F26" s="350">
        <v>30000</v>
      </c>
      <c r="G26" s="350">
        <f t="shared" si="1"/>
        <v>-29772</v>
      </c>
      <c r="H26" s="350">
        <v>30000</v>
      </c>
    </row>
    <row r="27" spans="1:8" x14ac:dyDescent="0.2">
      <c r="A27" s="478"/>
      <c r="B27" s="345" t="s">
        <v>269</v>
      </c>
      <c r="C27" s="345" t="s">
        <v>198</v>
      </c>
      <c r="D27" s="350">
        <v>301</v>
      </c>
      <c r="E27" s="350">
        <v>30</v>
      </c>
      <c r="F27" s="350">
        <v>100</v>
      </c>
      <c r="G27" s="350">
        <f t="shared" si="1"/>
        <v>201</v>
      </c>
      <c r="H27" s="350">
        <v>100</v>
      </c>
    </row>
    <row r="28" spans="1:8" x14ac:dyDescent="0.2">
      <c r="A28" s="478"/>
      <c r="B28" s="344" t="s">
        <v>222</v>
      </c>
      <c r="C28" s="344" t="s">
        <v>220</v>
      </c>
      <c r="D28" s="350">
        <v>789169</v>
      </c>
      <c r="E28" s="350">
        <v>443343</v>
      </c>
      <c r="F28" s="350">
        <v>544700</v>
      </c>
      <c r="G28" s="350">
        <f t="shared" si="1"/>
        <v>244469</v>
      </c>
      <c r="H28" s="350">
        <v>544700</v>
      </c>
    </row>
    <row r="29" spans="1:8" x14ac:dyDescent="0.2">
      <c r="A29" s="478"/>
      <c r="B29" s="344" t="s">
        <v>223</v>
      </c>
      <c r="C29" s="344" t="s">
        <v>221</v>
      </c>
      <c r="D29" s="350">
        <v>243497</v>
      </c>
      <c r="E29" s="350">
        <v>152272</v>
      </c>
      <c r="F29" s="350">
        <v>190000</v>
      </c>
      <c r="G29" s="350">
        <f t="shared" si="1"/>
        <v>53497</v>
      </c>
      <c r="H29" s="350">
        <v>190000</v>
      </c>
    </row>
    <row r="30" spans="1:8" x14ac:dyDescent="0.2">
      <c r="A30" s="478"/>
      <c r="B30" s="344" t="s">
        <v>229</v>
      </c>
      <c r="C30" s="344" t="s">
        <v>230</v>
      </c>
      <c r="D30" s="350">
        <v>56113</v>
      </c>
      <c r="E30" s="350">
        <v>33495</v>
      </c>
      <c r="F30" s="350">
        <v>0</v>
      </c>
      <c r="G30" s="350">
        <f t="shared" si="1"/>
        <v>56113</v>
      </c>
      <c r="H30" s="350">
        <v>0</v>
      </c>
    </row>
    <row r="31" spans="1:8" x14ac:dyDescent="0.2">
      <c r="A31" s="478"/>
      <c r="B31" s="344" t="s">
        <v>227</v>
      </c>
      <c r="C31" s="345" t="s">
        <v>339</v>
      </c>
      <c r="D31" s="350">
        <v>9206</v>
      </c>
      <c r="E31" s="350">
        <v>7882</v>
      </c>
      <c r="F31" s="350">
        <v>7500</v>
      </c>
      <c r="G31" s="350">
        <f t="shared" si="1"/>
        <v>1706</v>
      </c>
      <c r="H31" s="350">
        <v>7500</v>
      </c>
    </row>
    <row r="32" spans="1:8" x14ac:dyDescent="0.2">
      <c r="A32" s="478"/>
      <c r="B32" s="344" t="s">
        <v>226</v>
      </c>
      <c r="C32" s="345" t="s">
        <v>197</v>
      </c>
      <c r="D32" s="350">
        <v>3781</v>
      </c>
      <c r="E32" s="350">
        <v>2041</v>
      </c>
      <c r="F32" s="350">
        <v>2500</v>
      </c>
      <c r="G32" s="350">
        <f t="shared" si="1"/>
        <v>1281</v>
      </c>
      <c r="H32" s="350">
        <v>2500</v>
      </c>
    </row>
    <row r="33" spans="1:8" x14ac:dyDescent="0.2">
      <c r="A33" s="478"/>
      <c r="B33" s="345" t="s">
        <v>346</v>
      </c>
      <c r="C33" s="344" t="s">
        <v>10</v>
      </c>
      <c r="D33" s="350">
        <v>632</v>
      </c>
      <c r="E33" s="350">
        <v>455</v>
      </c>
      <c r="F33" s="350">
        <v>0</v>
      </c>
      <c r="G33" s="350">
        <f t="shared" si="1"/>
        <v>632</v>
      </c>
      <c r="H33" s="350">
        <v>0</v>
      </c>
    </row>
    <row r="34" spans="1:8" x14ac:dyDescent="0.2">
      <c r="A34" s="478"/>
      <c r="B34" s="345" t="s">
        <v>347</v>
      </c>
      <c r="C34" s="345" t="s">
        <v>348</v>
      </c>
      <c r="D34" s="350">
        <v>2359</v>
      </c>
      <c r="E34" s="350">
        <v>1662</v>
      </c>
      <c r="F34" s="350">
        <v>0</v>
      </c>
      <c r="G34" s="350">
        <f t="shared" si="1"/>
        <v>2359</v>
      </c>
      <c r="H34" s="350">
        <v>0</v>
      </c>
    </row>
    <row r="35" spans="1:8" x14ac:dyDescent="0.2">
      <c r="A35" s="478"/>
      <c r="B35" s="344" t="s">
        <v>268</v>
      </c>
      <c r="C35" s="344" t="s">
        <v>58</v>
      </c>
      <c r="D35" s="350"/>
      <c r="E35" s="350">
        <v>0</v>
      </c>
      <c r="F35" s="350">
        <v>30000</v>
      </c>
      <c r="G35" s="350">
        <f t="shared" si="1"/>
        <v>-30000</v>
      </c>
      <c r="H35" s="350">
        <v>30000</v>
      </c>
    </row>
    <row r="36" spans="1:8" x14ac:dyDescent="0.2">
      <c r="A36" s="478"/>
      <c r="B36" s="344" t="s">
        <v>228</v>
      </c>
      <c r="C36" s="345" t="s">
        <v>200</v>
      </c>
      <c r="D36" s="350">
        <f>7091+1584+48+5020</f>
        <v>13743</v>
      </c>
      <c r="E36" s="350">
        <v>1698</v>
      </c>
      <c r="F36" s="350">
        <v>2672</v>
      </c>
      <c r="G36" s="350">
        <f t="shared" si="1"/>
        <v>11071</v>
      </c>
      <c r="H36" s="350">
        <v>2672</v>
      </c>
    </row>
    <row r="37" spans="1:8" x14ac:dyDescent="0.2">
      <c r="A37" s="478"/>
      <c r="B37" s="345" t="s">
        <v>344</v>
      </c>
      <c r="C37" s="344" t="s">
        <v>169</v>
      </c>
      <c r="D37" s="350">
        <f>212+169</f>
        <v>381</v>
      </c>
      <c r="E37" s="350">
        <v>0</v>
      </c>
      <c r="F37" s="350">
        <v>100</v>
      </c>
      <c r="G37" s="350">
        <f t="shared" si="1"/>
        <v>281</v>
      </c>
      <c r="H37" s="350">
        <v>100</v>
      </c>
    </row>
    <row r="38" spans="1:8" x14ac:dyDescent="0.2">
      <c r="A38" s="478"/>
      <c r="B38" s="345" t="s">
        <v>336</v>
      </c>
      <c r="C38" s="345" t="s">
        <v>337</v>
      </c>
      <c r="D38" s="350">
        <f>50+350</f>
        <v>400</v>
      </c>
      <c r="E38" s="350">
        <v>100</v>
      </c>
      <c r="F38" s="350">
        <v>0</v>
      </c>
      <c r="G38" s="350">
        <f t="shared" si="1"/>
        <v>400</v>
      </c>
      <c r="H38" s="350">
        <v>0</v>
      </c>
    </row>
    <row r="39" spans="1:8" x14ac:dyDescent="0.2">
      <c r="A39" s="478"/>
      <c r="B39" s="345" t="s">
        <v>304</v>
      </c>
      <c r="C39" s="344" t="s">
        <v>4</v>
      </c>
      <c r="D39" s="350">
        <v>170000</v>
      </c>
      <c r="E39" s="350">
        <v>100000</v>
      </c>
      <c r="F39" s="350">
        <v>100000</v>
      </c>
      <c r="G39" s="350">
        <f t="shared" si="1"/>
        <v>80000</v>
      </c>
      <c r="H39" s="350">
        <v>90000</v>
      </c>
    </row>
    <row r="40" spans="1:8" x14ac:dyDescent="0.2">
      <c r="A40" s="478"/>
      <c r="B40" s="345"/>
      <c r="C40" s="345" t="s">
        <v>203</v>
      </c>
      <c r="D40" s="350"/>
      <c r="E40" s="350">
        <v>0</v>
      </c>
      <c r="F40" s="350">
        <v>0</v>
      </c>
      <c r="G40" s="350">
        <f t="shared" si="1"/>
        <v>0</v>
      </c>
      <c r="H40" s="350">
        <v>0</v>
      </c>
    </row>
    <row r="41" spans="1:8" x14ac:dyDescent="0.2">
      <c r="A41" s="478"/>
      <c r="B41" s="344"/>
      <c r="C41" s="347" t="s">
        <v>110</v>
      </c>
      <c r="D41" s="350"/>
      <c r="E41" s="350"/>
      <c r="F41" s="350"/>
      <c r="G41" s="350"/>
      <c r="H41" s="350"/>
    </row>
    <row r="42" spans="1:8" ht="13.5" thickBot="1" x14ac:dyDescent="0.25">
      <c r="A42" s="478"/>
      <c r="B42" s="380"/>
      <c r="C42" s="380" t="s">
        <v>11</v>
      </c>
      <c r="D42" s="350"/>
      <c r="E42" s="350"/>
      <c r="F42" s="350"/>
      <c r="G42" s="350"/>
      <c r="H42" s="350"/>
    </row>
    <row r="43" spans="1:8" ht="13.5" thickBot="1" x14ac:dyDescent="0.25">
      <c r="A43" s="478"/>
      <c r="B43" s="355"/>
      <c r="C43" s="356" t="s">
        <v>45</v>
      </c>
      <c r="D43" s="357">
        <f>SUM(D13:D41)</f>
        <v>1599069.15</v>
      </c>
      <c r="E43" s="358">
        <f>SUM(E13:E42)</f>
        <v>1068839</v>
      </c>
      <c r="F43" s="358">
        <f>SUM(F13:F42)</f>
        <v>1253000</v>
      </c>
      <c r="G43" s="358">
        <f>SUM(G13:G42)</f>
        <v>356069.15</v>
      </c>
      <c r="H43" s="359">
        <f>SUM(H13:H42)</f>
        <v>1243000</v>
      </c>
    </row>
    <row r="44" spans="1:8" x14ac:dyDescent="0.2">
      <c r="G44" s="154"/>
    </row>
    <row r="45" spans="1:8" x14ac:dyDescent="0.2">
      <c r="G45" s="154"/>
    </row>
    <row r="48" spans="1:8" x14ac:dyDescent="0.2">
      <c r="C48" s="413"/>
    </row>
    <row r="84" spans="2:2" x14ac:dyDescent="0.2">
      <c r="B84" s="2" t="s">
        <v>41</v>
      </c>
    </row>
  </sheetData>
  <sortState xmlns:xlrd2="http://schemas.microsoft.com/office/spreadsheetml/2017/richdata2" ref="B13:H42">
    <sortCondition ref="B13:B42"/>
  </sortState>
  <mergeCells count="4">
    <mergeCell ref="A12:A43"/>
    <mergeCell ref="A4:A10"/>
    <mergeCell ref="A1:F1"/>
    <mergeCell ref="A2:F2"/>
  </mergeCells>
  <phoneticPr fontId="2" type="noConversion"/>
  <printOptions horizontalCentered="1"/>
  <pageMargins left="0.5" right="0.5" top="0.5" bottom="0.5" header="0.5" footer="0.25"/>
  <pageSetup scale="64" orientation="portrait" r:id="rId1"/>
  <headerFooter alignWithMargins="0">
    <oddHeader xml:space="preserve">&amp;RPrint Date: &amp;D   </oddHeader>
    <oddFooter>Page &amp;P&amp;RFy23 FINAL Budget Presentation to Council processed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SUMMARY</vt:lpstr>
      <vt:lpstr>Rev</vt:lpstr>
      <vt:lpstr>EXP</vt:lpstr>
      <vt:lpstr>Depts</vt:lpstr>
      <vt:lpstr>Gaming</vt:lpstr>
      <vt:lpstr>REV Detail</vt:lpstr>
      <vt:lpstr>10, 20, 30, 35, 40 Detail</vt:lpstr>
      <vt:lpstr>Maint Detail</vt:lpstr>
      <vt:lpstr>GamDetail</vt:lpstr>
      <vt:lpstr>Instructions</vt:lpstr>
      <vt:lpstr>Depts!Print_Area</vt:lpstr>
      <vt:lpstr>EXP!Print_Area</vt:lpstr>
      <vt:lpstr>Gaming!Print_Area</vt:lpstr>
      <vt:lpstr>Rev!Print_Area</vt:lpstr>
      <vt:lpstr>SUMMARY!Print_Area</vt:lpstr>
      <vt:lpstr>'10, 20, 30, 35, 40 Detail'!Print_Titles</vt:lpstr>
      <vt:lpstr>Depts!Print_Titles</vt:lpstr>
      <vt:lpstr>Rev!Print_Titles</vt:lpstr>
      <vt:lpstr>'REV Detail'!Print_Titles</vt:lpstr>
      <vt:lpstr>SUMMARY!Print_Titles</vt:lpstr>
    </vt:vector>
  </TitlesOfParts>
  <Company>City of Barrow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linda.wenning</dc:creator>
  <cp:lastModifiedBy>Eta-starr Edwardsen</cp:lastModifiedBy>
  <cp:lastPrinted>2025-06-18T22:27:43Z</cp:lastPrinted>
  <dcterms:created xsi:type="dcterms:W3CDTF">2006-04-21T23:38:27Z</dcterms:created>
  <dcterms:modified xsi:type="dcterms:W3CDTF">2025-06-18T22:28:17Z</dcterms:modified>
</cp:coreProperties>
</file>