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Accounting\Monthly Reports\"/>
    </mc:Choice>
  </mc:AlternateContent>
  <xr:revisionPtr revIDLastSave="0" documentId="13_ncr:1_{77946B4F-9812-457C-88C0-DAEBE9595C0E}" xr6:coauthVersionLast="47" xr6:coauthVersionMax="47" xr10:uidLastSave="{00000000-0000-0000-0000-000000000000}"/>
  <bookViews>
    <workbookView xWindow="-120" yWindow="-120" windowWidth="29040" windowHeight="15720" xr2:uid="{F6735697-92CF-4219-8C56-CA349524A7B1}"/>
  </bookViews>
  <sheets>
    <sheet name="FY2425" sheetId="5" r:id="rId1"/>
    <sheet name="FY2324" sheetId="4" r:id="rId2"/>
    <sheet name="FY2223" sheetId="3" r:id="rId3"/>
    <sheet name="FY2122" sheetId="1" r:id="rId4"/>
    <sheet name="FY2223 ytd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" l="1"/>
  <c r="D14" i="5"/>
  <c r="C14" i="5"/>
  <c r="B14" i="5"/>
  <c r="E13" i="5"/>
  <c r="D13" i="5"/>
  <c r="C13" i="5"/>
  <c r="B13" i="5"/>
  <c r="E12" i="5"/>
  <c r="D12" i="5"/>
  <c r="C12" i="5"/>
  <c r="F12" i="5" s="1"/>
  <c r="B12" i="5"/>
  <c r="E11" i="5"/>
  <c r="D11" i="5"/>
  <c r="C11" i="5"/>
  <c r="B11" i="5"/>
  <c r="E10" i="5"/>
  <c r="D10" i="5"/>
  <c r="C10" i="5"/>
  <c r="B10" i="5"/>
  <c r="E9" i="5"/>
  <c r="D9" i="5"/>
  <c r="F9" i="5" s="1"/>
  <c r="C9" i="5"/>
  <c r="E8" i="5"/>
  <c r="D8" i="5"/>
  <c r="C8" i="5"/>
  <c r="B8" i="5"/>
  <c r="E7" i="5"/>
  <c r="D7" i="5"/>
  <c r="C7" i="5"/>
  <c r="B7" i="5"/>
  <c r="F7" i="5" s="1"/>
  <c r="E6" i="5"/>
  <c r="D6" i="5"/>
  <c r="B6" i="5"/>
  <c r="C6" i="5"/>
  <c r="E5" i="5"/>
  <c r="D5" i="5"/>
  <c r="C5" i="5"/>
  <c r="F5" i="5" s="1"/>
  <c r="B5" i="5"/>
  <c r="F15" i="5"/>
  <c r="F14" i="5"/>
  <c r="F11" i="5"/>
  <c r="F10" i="5"/>
  <c r="F4" i="5"/>
  <c r="F13" i="5" l="1"/>
  <c r="F6" i="5"/>
  <c r="E16" i="5"/>
  <c r="F8" i="5"/>
  <c r="D16" i="5"/>
  <c r="B16" i="5"/>
  <c r="C16" i="5"/>
  <c r="E14" i="4"/>
  <c r="D14" i="4"/>
  <c r="C14" i="4"/>
  <c r="B15" i="4"/>
  <c r="B14" i="4"/>
  <c r="F16" i="5" l="1"/>
  <c r="E13" i="4"/>
  <c r="D13" i="4"/>
  <c r="C13" i="4"/>
  <c r="B13" i="4"/>
  <c r="E12" i="4" l="1"/>
  <c r="D12" i="4"/>
  <c r="C12" i="4"/>
  <c r="B12" i="4"/>
  <c r="E11" i="4" l="1"/>
  <c r="D11" i="4"/>
  <c r="C11" i="4"/>
  <c r="B11" i="4"/>
  <c r="D10" i="4" l="1"/>
  <c r="E9" i="4" l="1"/>
  <c r="D9" i="4"/>
  <c r="C9" i="4"/>
  <c r="B9" i="4"/>
  <c r="E8" i="4"/>
  <c r="D8" i="4"/>
  <c r="C8" i="4"/>
  <c r="B8" i="4"/>
  <c r="E7" i="4"/>
  <c r="D7" i="4"/>
  <c r="C7" i="4"/>
  <c r="B7" i="4"/>
  <c r="C4" i="4" l="1"/>
  <c r="E16" i="4" l="1"/>
  <c r="D16" i="4"/>
  <c r="C16" i="4"/>
  <c r="B16" i="4"/>
  <c r="F15" i="4"/>
  <c r="F14" i="4"/>
  <c r="F13" i="4"/>
  <c r="F12" i="4"/>
  <c r="F11" i="4"/>
  <c r="F10" i="4"/>
  <c r="F9" i="4"/>
  <c r="F8" i="4"/>
  <c r="F7" i="4"/>
  <c r="F6" i="4"/>
  <c r="F5" i="4"/>
  <c r="F4" i="4"/>
  <c r="F15" i="3"/>
  <c r="F16" i="4" l="1"/>
  <c r="F14" i="3"/>
  <c r="F13" i="3"/>
  <c r="F12" i="3"/>
  <c r="F11" i="3"/>
  <c r="F10" i="3"/>
  <c r="F9" i="3"/>
  <c r="F8" i="3"/>
  <c r="F5" i="3"/>
  <c r="F4" i="3"/>
  <c r="F7" i="3"/>
  <c r="E16" i="3"/>
  <c r="F6" i="3"/>
  <c r="D16" i="3" l="1"/>
  <c r="C16" i="3"/>
  <c r="B16" i="3"/>
  <c r="F16" i="3" s="1"/>
  <c r="C7" i="2"/>
  <c r="D7" i="2" l="1"/>
  <c r="B7" i="2"/>
  <c r="A7" i="2"/>
  <c r="E7" i="2" s="1"/>
  <c r="E12" i="1" l="1"/>
  <c r="E2" i="1" l="1"/>
  <c r="E3" i="1"/>
  <c r="E4" i="1"/>
  <c r="E5" i="1"/>
  <c r="E6" i="1"/>
  <c r="E7" i="1"/>
  <c r="E8" i="1"/>
  <c r="E9" i="1"/>
  <c r="E10" i="1"/>
  <c r="E11" i="1"/>
  <c r="B14" i="1"/>
  <c r="C14" i="1"/>
  <c r="D14" i="1"/>
  <c r="E14" i="1" l="1"/>
</calcChain>
</file>

<file path=xl/sharedStrings.xml><?xml version="1.0" encoding="utf-8"?>
<sst xmlns="http://schemas.openxmlformats.org/spreadsheetml/2006/main" count="84" uniqueCount="26">
  <si>
    <t>July</t>
  </si>
  <si>
    <t>June</t>
  </si>
  <si>
    <t>Tobacco</t>
  </si>
  <si>
    <t xml:space="preserve">Bed </t>
  </si>
  <si>
    <t>Marijuana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</si>
  <si>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</si>
  <si>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</si>
  <si>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</si>
  <si>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</si>
  <si>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</si>
  <si>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</si>
  <si>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</si>
  <si>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</si>
  <si>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</si>
  <si>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</si>
  <si>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Total by Codes</t>
  </si>
  <si>
    <t>Monthly</t>
  </si>
  <si>
    <t>Taxes to Date</t>
  </si>
  <si>
    <t>Ending 10/18/22</t>
  </si>
  <si>
    <t>Gravel Sales</t>
  </si>
  <si>
    <t>FY21/22</t>
  </si>
  <si>
    <t>Distribution</t>
  </si>
  <si>
    <t>City of Utqiagvik Tax Revenue 2022-2023</t>
  </si>
  <si>
    <t>City of Utqiagvik Tax Revenue 2023-2024</t>
  </si>
  <si>
    <t xml:space="preserve"> </t>
  </si>
  <si>
    <t>City of Utqiagvik Tax Revenue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</si>
</sst>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sz val="8.25"/>
      <color rgb="FF000000"/>
      <name val="Microsoft Sans 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9" applyNumberFormat="0" applyFill="0" applyAlignment="0" applyProtection="0"/>
    <xf numFmtId="0" fontId="10" fillId="0" borderId="0" applyAlignment="0"/>
  </cellStyleXfs>
  <cellXfs count="36">
    <xf numFmtId="0" fontId="0" fillId="0" borderId="0" xfId="0"/>
    <xf numFmtId="0" fontId="2" fillId="0" borderId="3" xfId="0" applyFont="1" applyBorder="1"/>
    <xf numFmtId="0" fontId="2" fillId="0" borderId="1" xfId="0" applyFont="1" applyBorder="1"/>
    <xf numFmtId="0" fontId="2" fillId="0" borderId="0" xfId="0" applyFont="1"/>
    <xf numFmtId="17" fontId="2" fillId="0" borderId="1" xfId="0" applyNumberFormat="1" applyFont="1" applyBorder="1"/>
    <xf numFmtId="0" fontId="2" fillId="0" borderId="7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44" fontId="2" fillId="0" borderId="3" xfId="1" applyFont="1" applyBorder="1"/>
    <xf numFmtId="44" fontId="2" fillId="0" borderId="1" xfId="1" applyFont="1" applyBorder="1"/>
    <xf numFmtId="44" fontId="2" fillId="0" borderId="7" xfId="1" applyFont="1" applyBorder="1"/>
    <xf numFmtId="44" fontId="0" fillId="0" borderId="0" xfId="1" applyFont="1"/>
    <xf numFmtId="0" fontId="4" fillId="0" borderId="4" xfId="0" applyFont="1" applyBorder="1"/>
    <xf numFmtId="44" fontId="4" fillId="0" borderId="5" xfId="1" applyFont="1" applyBorder="1"/>
    <xf numFmtId="0" fontId="4" fillId="0" borderId="0" xfId="0" applyFont="1"/>
    <xf numFmtId="44" fontId="4" fillId="0" borderId="8" xfId="1" applyFont="1" applyBorder="1"/>
    <xf numFmtId="44" fontId="4" fillId="2" borderId="2" xfId="1" applyFont="1" applyFill="1" applyBorder="1"/>
    <xf numFmtId="44" fontId="5" fillId="0" borderId="0" xfId="1" applyFont="1"/>
    <xf numFmtId="44" fontId="4" fillId="0" borderId="4" xfId="1" applyFont="1" applyBorder="1"/>
    <xf numFmtId="44" fontId="4" fillId="0" borderId="6" xfId="1" applyFont="1" applyBorder="1"/>
    <xf numFmtId="164" fontId="6" fillId="0" borderId="0" xfId="1" applyNumberFormat="1" applyFont="1" applyAlignment="1">
      <alignment horizontal="center" vertical="center"/>
    </xf>
    <xf numFmtId="44" fontId="7" fillId="0" borderId="2" xfId="0" applyNumberFormat="1" applyFont="1" applyBorder="1"/>
    <xf numFmtId="43" fontId="2" fillId="0" borderId="3" xfId="2" applyFont="1" applyBorder="1"/>
    <xf numFmtId="43" fontId="2" fillId="0" borderId="1" xfId="2" applyFont="1" applyBorder="1"/>
    <xf numFmtId="44" fontId="3" fillId="0" borderId="8" xfId="1" applyFont="1" applyBorder="1" applyAlignment="1">
      <alignment horizontal="center"/>
    </xf>
    <xf numFmtId="43" fontId="2" fillId="0" borderId="10" xfId="2" applyFont="1" applyBorder="1"/>
    <xf numFmtId="44" fontId="8" fillId="0" borderId="9" xfId="3" applyNumberFormat="1"/>
    <xf numFmtId="0" fontId="9" fillId="0" borderId="9" xfId="3" applyFont="1"/>
    <xf numFmtId="0" fontId="9" fillId="0" borderId="0" xfId="3" applyFont="1" applyBorder="1"/>
    <xf numFmtId="44" fontId="8" fillId="0" borderId="0" xfId="3" applyNumberFormat="1" applyBorder="1"/>
    <xf numFmtId="44" fontId="4" fillId="0" borderId="11" xfId="1" applyFont="1" applyBorder="1"/>
    <xf numFmtId="44" fontId="4" fillId="0" borderId="12" xfId="1" applyFont="1" applyBorder="1"/>
    <xf numFmtId="44" fontId="4" fillId="0" borderId="13" xfId="1" applyFont="1" applyFill="1" applyBorder="1"/>
    <xf numFmtId="0" fontId="4" fillId="0" borderId="14" xfId="0" applyFont="1" applyBorder="1"/>
  </cellXfs>
  <cellStyles count="5">
    <cellStyle name="Comma" xfId="2" builtinId="3"/>
    <cellStyle name="Currency" xfId="1" builtinId="4"/>
    <cellStyle name="Heading 1" xfId="3" builtinId="16"/>
    <cellStyle name="Normal" xfId="0" builtinId="0"/>
    <cellStyle name="Normal 2" xfId="4" xr:uid="{CDB13094-A7D5-4F2A-9B2B-217D9DC09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E0562-3A2B-44A0-8A06-A66B0DF37AFB}">
  <sheetPr>
    <pageSetUpPr fitToPage="1"/>
  </sheetPr>
  <dimension ref="A1:F25"/>
  <sheetViews>
    <sheetView tabSelected="1" workbookViewId="0">
      <selection activeCell="H10" sqref="H10"/>
    </sheetView>
  </sheetViews>
  <sheetFormatPr defaultRowHeight="15" x14ac:dyDescent="0.25"/>
  <cols>
    <col min="1" max="1" width="20.7109375" customWidth="1"/>
    <col min="2" max="5" width="19.7109375" style="13" customWidth="1"/>
    <col min="6" max="6" width="21.7109375" style="13" customWidth="1"/>
    <col min="7" max="7" width="20.7109375" customWidth="1"/>
    <col min="8" max="14" width="13.7109375" customWidth="1"/>
  </cols>
  <sheetData>
    <row r="1" spans="1:6" ht="41.25" customHeight="1" thickBot="1" x14ac:dyDescent="0.45">
      <c r="A1" s="29" t="s">
        <v>25</v>
      </c>
      <c r="B1" s="28"/>
      <c r="C1" s="28"/>
      <c r="D1" s="28"/>
      <c r="E1" s="28"/>
      <c r="F1" s="28"/>
    </row>
    <row r="2" spans="1:6" ht="7.5" customHeight="1" thickTop="1" thickBot="1" x14ac:dyDescent="0.45">
      <c r="A2" s="30"/>
      <c r="B2" s="31"/>
      <c r="C2" s="31"/>
      <c r="D2" s="31"/>
      <c r="E2" s="31"/>
      <c r="F2" s="31"/>
    </row>
    <row r="3" spans="1:6" s="7" customFormat="1" ht="24.95" customHeight="1" thickBot="1" x14ac:dyDescent="0.4">
      <c r="A3" s="6"/>
      <c r="B3" s="8" t="s">
        <v>2</v>
      </c>
      <c r="C3" s="8" t="s">
        <v>3</v>
      </c>
      <c r="D3" s="8" t="s">
        <v>4</v>
      </c>
      <c r="E3" s="26" t="s">
        <v>21</v>
      </c>
      <c r="F3" s="9" t="s">
        <v>16</v>
      </c>
    </row>
    <row r="4" spans="1:6" s="3" customFormat="1" ht="20.100000000000001" customHeight="1" x14ac:dyDescent="0.3">
      <c r="A4" s="1" t="s">
        <v>0</v>
      </c>
      <c r="B4" s="25">
        <v>22285.119999999999</v>
      </c>
      <c r="C4" s="24">
        <v>23703.29</v>
      </c>
      <c r="D4" s="24">
        <v>29751.57</v>
      </c>
      <c r="E4" s="24">
        <v>1149.42</v>
      </c>
      <c r="F4" s="24">
        <f t="shared" ref="F4:F14" si="0">SUM(B4:E4)</f>
        <v>76889.400000000009</v>
      </c>
    </row>
    <row r="5" spans="1:6" s="3" customFormat="1" ht="20.100000000000001" customHeight="1" x14ac:dyDescent="0.3">
      <c r="A5" s="2" t="s">
        <v>5</v>
      </c>
      <c r="B5" s="25">
        <f>74081.45-B4</f>
        <v>51796.33</v>
      </c>
      <c r="C5" s="25">
        <f>41516.16-C4</f>
        <v>17812.870000000003</v>
      </c>
      <c r="D5" s="25">
        <f>58299.93-D4</f>
        <v>28548.36</v>
      </c>
      <c r="E5" s="24">
        <f>2531.76-E4</f>
        <v>1382.3400000000001</v>
      </c>
      <c r="F5" s="24">
        <f t="shared" si="0"/>
        <v>99539.900000000009</v>
      </c>
    </row>
    <row r="6" spans="1:6" s="3" customFormat="1" ht="20.100000000000001" customHeight="1" x14ac:dyDescent="0.3">
      <c r="A6" s="2" t="s">
        <v>6</v>
      </c>
      <c r="B6" s="25">
        <f>105776.42-B5-B4</f>
        <v>31694.969999999998</v>
      </c>
      <c r="C6" s="25">
        <f>58491.63-41516.16</f>
        <v>16975.469999999994</v>
      </c>
      <c r="D6" s="25">
        <f>98903.81-58299.93</f>
        <v>40603.879999999997</v>
      </c>
      <c r="E6" s="24">
        <f>3891.23-2531.76</f>
        <v>1359.4699999999998</v>
      </c>
      <c r="F6" s="24">
        <f t="shared" si="0"/>
        <v>90633.789999999979</v>
      </c>
    </row>
    <row r="7" spans="1:6" ht="20.100000000000001" customHeight="1" x14ac:dyDescent="0.3">
      <c r="A7" s="2" t="s">
        <v>7</v>
      </c>
      <c r="B7" s="25">
        <f>133431.96-105776.42</f>
        <v>27655.539999999994</v>
      </c>
      <c r="C7" s="25">
        <f>87318.62-58491.63</f>
        <v>28826.989999999998</v>
      </c>
      <c r="D7" s="25">
        <f>124518.5-98903.81</f>
        <v>25614.690000000002</v>
      </c>
      <c r="E7" s="24">
        <f>5172.93-3891.23</f>
        <v>1281.7000000000003</v>
      </c>
      <c r="F7" s="24">
        <f t="shared" si="0"/>
        <v>83378.92</v>
      </c>
    </row>
    <row r="8" spans="1:6" ht="20.100000000000001" customHeight="1" x14ac:dyDescent="0.3">
      <c r="A8" s="2" t="s">
        <v>8</v>
      </c>
      <c r="B8" s="25">
        <f>173271.47-133431.96</f>
        <v>39839.510000000009</v>
      </c>
      <c r="C8" s="25">
        <f>90136.28-87318.62</f>
        <v>2817.6600000000035</v>
      </c>
      <c r="D8" s="25">
        <f>154776.26-124518.5</f>
        <v>30257.760000000009</v>
      </c>
      <c r="E8" s="24">
        <f>6337.1-5172.93</f>
        <v>1164.17</v>
      </c>
      <c r="F8" s="24">
        <f t="shared" si="0"/>
        <v>74079.10000000002</v>
      </c>
    </row>
    <row r="9" spans="1:6" ht="20.100000000000001" customHeight="1" x14ac:dyDescent="0.3">
      <c r="A9" s="2" t="s">
        <v>9</v>
      </c>
      <c r="B9" s="25">
        <v>0</v>
      </c>
      <c r="C9" s="25">
        <f>90654.68-90136.28</f>
        <v>518.39999999999418</v>
      </c>
      <c r="D9" s="25">
        <f>180749.79-154776.26</f>
        <v>25973.53</v>
      </c>
      <c r="E9" s="24">
        <f>6387.1-6337.1</f>
        <v>50</v>
      </c>
      <c r="F9" s="24">
        <f t="shared" si="0"/>
        <v>26541.929999999993</v>
      </c>
    </row>
    <row r="10" spans="1:6" ht="20.100000000000001" customHeight="1" x14ac:dyDescent="0.3">
      <c r="A10" s="4" t="s">
        <v>10</v>
      </c>
      <c r="B10" s="25">
        <f>251015.92-173271.47</f>
        <v>77744.450000000012</v>
      </c>
      <c r="C10" s="25">
        <f>119117.52-90654.68</f>
        <v>28462.840000000011</v>
      </c>
      <c r="D10" s="25">
        <f>222466.67-180749.79</f>
        <v>41716.880000000005</v>
      </c>
      <c r="E10" s="24">
        <f>9255.64-6387.1</f>
        <v>2868.5399999999991</v>
      </c>
      <c r="F10" s="24">
        <f t="shared" si="0"/>
        <v>150792.71000000005</v>
      </c>
    </row>
    <row r="11" spans="1:6" ht="20.100000000000001" customHeight="1" x14ac:dyDescent="0.3">
      <c r="A11" s="2" t="s">
        <v>11</v>
      </c>
      <c r="B11" s="25">
        <f>260907.99-251015.92</f>
        <v>9892.0699999999779</v>
      </c>
      <c r="C11" s="25">
        <f>135033.19-119117.52</f>
        <v>15915.669999999998</v>
      </c>
      <c r="D11" s="25">
        <f>255530.43-222466.67</f>
        <v>33063.75999999998</v>
      </c>
      <c r="E11" s="24">
        <f>10498.38-9255.64</f>
        <v>1242.7399999999998</v>
      </c>
      <c r="F11" s="24">
        <f t="shared" si="0"/>
        <v>60114.239999999954</v>
      </c>
    </row>
    <row r="12" spans="1:6" ht="20.100000000000001" customHeight="1" x14ac:dyDescent="0.3">
      <c r="A12" s="2" t="s">
        <v>12</v>
      </c>
      <c r="B12" s="25">
        <f>283625.86-260907.99</f>
        <v>22717.869999999995</v>
      </c>
      <c r="C12" s="25">
        <f>142881.24-135033.19</f>
        <v>7848.0499999999884</v>
      </c>
      <c r="D12" s="25">
        <f>289047.54-255530.43</f>
        <v>33517.109999999986</v>
      </c>
      <c r="E12" s="24">
        <f>11664.44-10498.38</f>
        <v>1166.0600000000013</v>
      </c>
      <c r="F12" s="24">
        <f t="shared" si="0"/>
        <v>65249.089999999967</v>
      </c>
    </row>
    <row r="13" spans="1:6" ht="20.100000000000001" customHeight="1" x14ac:dyDescent="0.3">
      <c r="A13" s="2" t="s">
        <v>13</v>
      </c>
      <c r="B13" s="25">
        <f>290239.88-283625.86</f>
        <v>6614.0200000000186</v>
      </c>
      <c r="C13" s="25">
        <f>144861.83-142881.24</f>
        <v>1980.5899999999965</v>
      </c>
      <c r="D13" s="25">
        <f>304986.9-289047.54</f>
        <v>15939.360000000044</v>
      </c>
      <c r="E13" s="24">
        <f>12927.92-11664.44</f>
        <v>1263.4799999999996</v>
      </c>
      <c r="F13" s="24">
        <f t="shared" si="0"/>
        <v>25797.450000000059</v>
      </c>
    </row>
    <row r="14" spans="1:6" ht="20.100000000000001" customHeight="1" x14ac:dyDescent="0.3">
      <c r="A14" s="2" t="s">
        <v>14</v>
      </c>
      <c r="B14" s="25">
        <f>312269-290239.88</f>
        <v>22029.119999999995</v>
      </c>
      <c r="C14" s="25">
        <f>165539-144861.83</f>
        <v>20677.170000000013</v>
      </c>
      <c r="D14" s="25">
        <f>371497-304986.9</f>
        <v>66510.099999999977</v>
      </c>
      <c r="E14" s="24">
        <f>13985-12927.92</f>
        <v>1057.08</v>
      </c>
      <c r="F14" s="24">
        <f t="shared" si="0"/>
        <v>110273.46999999999</v>
      </c>
    </row>
    <row r="15" spans="1:6" ht="20.100000000000001" customHeight="1" x14ac:dyDescent="0.3">
      <c r="A15" s="5" t="s">
        <v>1</v>
      </c>
      <c r="B15" s="25"/>
      <c r="C15" s="25"/>
      <c r="D15" s="25"/>
      <c r="E15" s="25"/>
      <c r="F15" s="27">
        <f>SUM(B15:E15)</f>
        <v>0</v>
      </c>
    </row>
    <row r="16" spans="1:6" s="16" customFormat="1" ht="20.100000000000001" customHeight="1" thickBot="1" x14ac:dyDescent="0.4">
      <c r="A16" s="35" t="s">
        <v>15</v>
      </c>
      <c r="B16" s="32">
        <f>SUM(B4:B15)</f>
        <v>312269</v>
      </c>
      <c r="C16" s="32">
        <f>SUM(C4:C15)</f>
        <v>165539</v>
      </c>
      <c r="D16" s="33">
        <f>SUM(D4:D15)</f>
        <v>371497</v>
      </c>
      <c r="E16" s="33">
        <f>SUM(E4:E15)</f>
        <v>13985</v>
      </c>
      <c r="F16" s="34">
        <f>SUM(B16:E16)</f>
        <v>863290</v>
      </c>
    </row>
    <row r="17" spans="3:5" ht="20.100000000000001" customHeight="1" thickTop="1" x14ac:dyDescent="0.25"/>
    <row r="18" spans="3:5" ht="18.75" x14ac:dyDescent="0.3">
      <c r="D18" s="25"/>
    </row>
    <row r="23" spans="3:5" x14ac:dyDescent="0.25">
      <c r="E23" s="13" t="s">
        <v>24</v>
      </c>
    </row>
    <row r="25" spans="3:5" x14ac:dyDescent="0.25">
      <c r="C25" s="13" t="s">
        <v>24</v>
      </c>
    </row>
  </sheetData>
  <pageMargins left="0.25" right="0.25" top="0.75" bottom="0.75" header="0.3" footer="0.3"/>
  <pageSetup scale="8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A799-B7F4-4AA2-9789-D8DFB419EB24}">
  <sheetPr>
    <pageSetUpPr fitToPage="1"/>
  </sheetPr>
  <dimension ref="A1:F25"/>
  <sheetViews>
    <sheetView workbookViewId="0">
      <selection activeCell="G20" sqref="G20"/>
    </sheetView>
  </sheetViews>
  <sheetFormatPr defaultRowHeight="15" x14ac:dyDescent="0.25"/>
  <cols>
    <col min="1" max="1" width="20.7109375" customWidth="1"/>
    <col min="2" max="5" width="19.7109375" style="13" customWidth="1"/>
    <col min="6" max="6" width="21.7109375" style="13" customWidth="1"/>
    <col min="7" max="7" width="20.7109375" customWidth="1"/>
    <col min="8" max="14" width="13.7109375" customWidth="1"/>
  </cols>
  <sheetData>
    <row r="1" spans="1:6" ht="41.25" customHeight="1" thickBot="1" x14ac:dyDescent="0.45">
      <c r="A1" s="29" t="s">
        <v>23</v>
      </c>
      <c r="B1" s="28"/>
      <c r="C1" s="28"/>
      <c r="D1" s="28"/>
      <c r="E1" s="28"/>
      <c r="F1" s="28"/>
    </row>
    <row r="2" spans="1:6" ht="7.5" customHeight="1" thickTop="1" thickBot="1" x14ac:dyDescent="0.45">
      <c r="A2" s="30"/>
      <c r="B2" s="31"/>
      <c r="C2" s="31"/>
      <c r="D2" s="31"/>
      <c r="E2" s="31"/>
      <c r="F2" s="31"/>
    </row>
    <row r="3" spans="1:6" s="7" customFormat="1" ht="24.95" customHeight="1" thickBot="1" x14ac:dyDescent="0.4">
      <c r="A3" s="6"/>
      <c r="B3" s="8" t="s">
        <v>2</v>
      </c>
      <c r="C3" s="8" t="s">
        <v>3</v>
      </c>
      <c r="D3" s="8" t="s">
        <v>4</v>
      </c>
      <c r="E3" s="26" t="s">
        <v>21</v>
      </c>
      <c r="F3" s="9" t="s">
        <v>16</v>
      </c>
    </row>
    <row r="4" spans="1:6" s="3" customFormat="1" ht="20.100000000000001" customHeight="1" x14ac:dyDescent="0.3">
      <c r="A4" s="1" t="s">
        <v>0</v>
      </c>
      <c r="B4" s="25">
        <v>34661.69</v>
      </c>
      <c r="C4" s="24">
        <f>10087.35-1725</f>
        <v>8362.35</v>
      </c>
      <c r="D4" s="24">
        <v>21420.62</v>
      </c>
      <c r="E4" s="24">
        <v>490.05</v>
      </c>
      <c r="F4" s="24">
        <f t="shared" ref="F4:F14" si="0">SUM(B4:E4)</f>
        <v>64934.710000000006</v>
      </c>
    </row>
    <row r="5" spans="1:6" s="3" customFormat="1" ht="20.100000000000001" customHeight="1" x14ac:dyDescent="0.3">
      <c r="A5" s="2" t="s">
        <v>5</v>
      </c>
      <c r="B5" s="25">
        <v>37258.69</v>
      </c>
      <c r="C5" s="25">
        <v>39716.589999999997</v>
      </c>
      <c r="D5" s="25">
        <v>20613.18</v>
      </c>
      <c r="E5" s="24">
        <v>12.57</v>
      </c>
      <c r="F5" s="24">
        <f t="shared" si="0"/>
        <v>97601.03</v>
      </c>
    </row>
    <row r="6" spans="1:6" s="3" customFormat="1" ht="20.100000000000001" customHeight="1" x14ac:dyDescent="0.3">
      <c r="A6" s="2" t="s">
        <v>6</v>
      </c>
      <c r="B6" s="25">
        <v>37037.74</v>
      </c>
      <c r="C6" s="25">
        <v>1064.6500000000001</v>
      </c>
      <c r="D6" s="25">
        <v>31530.62</v>
      </c>
      <c r="E6" s="24">
        <v>161.55000000000001</v>
      </c>
      <c r="F6" s="24">
        <f t="shared" si="0"/>
        <v>69794.559999999998</v>
      </c>
    </row>
    <row r="7" spans="1:6" ht="20.100000000000001" customHeight="1" x14ac:dyDescent="0.3">
      <c r="A7" s="2" t="s">
        <v>7</v>
      </c>
      <c r="B7" s="25">
        <f>148236.5-108958.12</f>
        <v>39278.380000000005</v>
      </c>
      <c r="C7" s="25">
        <f>79528.61-49143.59</f>
        <v>30385.020000000004</v>
      </c>
      <c r="D7" s="25">
        <f>92896.07-73564.42</f>
        <v>19331.650000000009</v>
      </c>
      <c r="E7" s="24">
        <f>4388.16-664.17</f>
        <v>3723.99</v>
      </c>
      <c r="F7" s="24">
        <f t="shared" si="0"/>
        <v>92719.040000000023</v>
      </c>
    </row>
    <row r="8" spans="1:6" ht="20.100000000000001" customHeight="1" x14ac:dyDescent="0.3">
      <c r="A8" s="2" t="s">
        <v>8</v>
      </c>
      <c r="B8" s="25">
        <f>174600.82-148236.5</f>
        <v>26364.320000000007</v>
      </c>
      <c r="C8" s="25">
        <f>80883.01-79528.61</f>
        <v>1354.3999999999942</v>
      </c>
      <c r="D8" s="25">
        <f>118423.32-92896.07</f>
        <v>25527.25</v>
      </c>
      <c r="E8" s="24">
        <f>5548.14-4388.16</f>
        <v>1159.9800000000005</v>
      </c>
      <c r="F8" s="24">
        <f t="shared" si="0"/>
        <v>54405.950000000004</v>
      </c>
    </row>
    <row r="9" spans="1:6" ht="20.100000000000001" customHeight="1" x14ac:dyDescent="0.3">
      <c r="A9" s="2" t="s">
        <v>9</v>
      </c>
      <c r="B9" s="25">
        <f>199289.62-174600.82</f>
        <v>24688.799999999988</v>
      </c>
      <c r="C9" s="25">
        <f>97454.9-80883.01</f>
        <v>16571.89</v>
      </c>
      <c r="D9" s="25">
        <f>146562.6-118423.32</f>
        <v>28139.279999999999</v>
      </c>
      <c r="E9" s="24">
        <f>6905.32-5548.14</f>
        <v>1357.1799999999994</v>
      </c>
      <c r="F9" s="24">
        <f t="shared" si="0"/>
        <v>70757.14999999998</v>
      </c>
    </row>
    <row r="10" spans="1:6" ht="20.100000000000001" customHeight="1" x14ac:dyDescent="0.3">
      <c r="A10" s="4" t="s">
        <v>10</v>
      </c>
      <c r="B10" s="25">
        <v>0</v>
      </c>
      <c r="C10" s="25">
        <v>0</v>
      </c>
      <c r="D10" s="25">
        <f>181555.07-146562.6</f>
        <v>34992.47</v>
      </c>
      <c r="E10" s="24">
        <v>0</v>
      </c>
      <c r="F10" s="24">
        <f t="shared" si="0"/>
        <v>34992.47</v>
      </c>
    </row>
    <row r="11" spans="1:6" ht="20.100000000000001" customHeight="1" x14ac:dyDescent="0.3">
      <c r="A11" s="2" t="s">
        <v>11</v>
      </c>
      <c r="B11" s="25">
        <f>264972.35-199289.62</f>
        <v>65682.729999999981</v>
      </c>
      <c r="C11" s="25">
        <f>116688.23-97454.9</f>
        <v>19233.330000000002</v>
      </c>
      <c r="D11" s="25">
        <f>212313.74-181555.07</f>
        <v>30758.669999999984</v>
      </c>
      <c r="E11" s="24">
        <f>8606.18-6905.32</f>
        <v>1700.8600000000006</v>
      </c>
      <c r="F11" s="24">
        <f t="shared" si="0"/>
        <v>117375.58999999997</v>
      </c>
    </row>
    <row r="12" spans="1:6" ht="20.100000000000001" customHeight="1" x14ac:dyDescent="0.3">
      <c r="A12" s="2" t="s">
        <v>12</v>
      </c>
      <c r="B12" s="25">
        <f>314861.08-264972.35</f>
        <v>49888.73000000004</v>
      </c>
      <c r="C12" s="25">
        <f>122489.47-116688.23</f>
        <v>5801.2400000000052</v>
      </c>
      <c r="D12" s="25">
        <f>240185.78-212313.74</f>
        <v>27872.040000000008</v>
      </c>
      <c r="E12" s="24">
        <f>10991.22-8606.18</f>
        <v>2385.0399999999991</v>
      </c>
      <c r="F12" s="24">
        <f t="shared" si="0"/>
        <v>85947.050000000047</v>
      </c>
    </row>
    <row r="13" spans="1:6" ht="20.100000000000001" customHeight="1" x14ac:dyDescent="0.3">
      <c r="A13" s="2" t="s">
        <v>13</v>
      </c>
      <c r="B13" s="25">
        <f>340721.82-314861.08</f>
        <v>25860.739999999991</v>
      </c>
      <c r="C13" s="25">
        <f>137736.4-122489.47</f>
        <v>15246.929999999993</v>
      </c>
      <c r="D13" s="25">
        <f>270789.17-240185.78</f>
        <v>30603.389999999985</v>
      </c>
      <c r="E13" s="24">
        <f>12274.76-10991.22</f>
        <v>1283.5400000000009</v>
      </c>
      <c r="F13" s="24">
        <f t="shared" si="0"/>
        <v>72994.599999999977</v>
      </c>
    </row>
    <row r="14" spans="1:6" ht="20.100000000000001" customHeight="1" x14ac:dyDescent="0.3">
      <c r="A14" s="2" t="s">
        <v>14</v>
      </c>
      <c r="B14" s="25">
        <f>382240.47-340721.82</f>
        <v>41518.649999999965</v>
      </c>
      <c r="C14" s="25">
        <f>146035.02-137736.4</f>
        <v>8298.6199999999953</v>
      </c>
      <c r="D14" s="25">
        <f>295822.4-270789.17</f>
        <v>25033.23000000004</v>
      </c>
      <c r="E14" s="24">
        <f>14670.88-12274.76</f>
        <v>2396.119999999999</v>
      </c>
      <c r="F14" s="24">
        <f t="shared" si="0"/>
        <v>77246.62</v>
      </c>
    </row>
    <row r="15" spans="1:6" ht="20.100000000000001" customHeight="1" x14ac:dyDescent="0.3">
      <c r="A15" s="5" t="s">
        <v>1</v>
      </c>
      <c r="B15" s="25">
        <f>68</f>
        <v>68</v>
      </c>
      <c r="C15" s="25">
        <v>1166.4000000000001</v>
      </c>
      <c r="D15" s="25">
        <v>20763.32</v>
      </c>
      <c r="E15" s="25">
        <v>916.12</v>
      </c>
      <c r="F15" s="27">
        <f>SUM(B15:E15)</f>
        <v>22913.84</v>
      </c>
    </row>
    <row r="16" spans="1:6" s="16" customFormat="1" ht="20.100000000000001" customHeight="1" thickBot="1" x14ac:dyDescent="0.4">
      <c r="A16" s="35" t="s">
        <v>15</v>
      </c>
      <c r="B16" s="32">
        <f>SUM(B4:B15)</f>
        <v>382308.47</v>
      </c>
      <c r="C16" s="32">
        <f>SUM(C4:C15)</f>
        <v>147201.41999999998</v>
      </c>
      <c r="D16" s="33">
        <f>SUM(D4:D15)</f>
        <v>316585.72000000003</v>
      </c>
      <c r="E16" s="33">
        <f>SUM(E4:E15)</f>
        <v>15587</v>
      </c>
      <c r="F16" s="34">
        <f>SUM(B16:E16)</f>
        <v>861682.60999999987</v>
      </c>
    </row>
    <row r="17" spans="3:4" ht="20.100000000000001" customHeight="1" thickTop="1" x14ac:dyDescent="0.25"/>
    <row r="18" spans="3:4" ht="18.75" x14ac:dyDescent="0.3">
      <c r="D18" s="25"/>
    </row>
    <row r="25" spans="3:4" x14ac:dyDescent="0.25">
      <c r="C25" s="13" t="s">
        <v>24</v>
      </c>
    </row>
  </sheetData>
  <pageMargins left="0.25" right="0.25" top="0.75" bottom="0.75" header="0.3" footer="0.3"/>
  <pageSetup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E6A6-4666-4BB2-A1E9-811C076561E3}">
  <sheetPr>
    <pageSetUpPr fitToPage="1"/>
  </sheetPr>
  <dimension ref="A1:F17"/>
  <sheetViews>
    <sheetView workbookViewId="0">
      <selection activeCell="C22" sqref="C22"/>
    </sheetView>
  </sheetViews>
  <sheetFormatPr defaultRowHeight="15" x14ac:dyDescent="0.25"/>
  <cols>
    <col min="1" max="1" width="20.7109375" customWidth="1"/>
    <col min="2" max="5" width="19.7109375" style="13" customWidth="1"/>
    <col min="6" max="6" width="21.7109375" style="13" customWidth="1"/>
    <col min="7" max="7" width="20.7109375" customWidth="1"/>
    <col min="8" max="14" width="13.7109375" customWidth="1"/>
  </cols>
  <sheetData>
    <row r="1" spans="1:6" ht="41.25" customHeight="1" thickBot="1" x14ac:dyDescent="0.45">
      <c r="A1" s="29" t="s">
        <v>22</v>
      </c>
      <c r="B1" s="28"/>
      <c r="C1" s="28"/>
      <c r="D1" s="28"/>
      <c r="E1" s="28"/>
      <c r="F1" s="28"/>
    </row>
    <row r="2" spans="1:6" ht="7.5" customHeight="1" thickTop="1" thickBot="1" x14ac:dyDescent="0.45">
      <c r="A2" s="30"/>
      <c r="B2" s="31"/>
      <c r="C2" s="31"/>
      <c r="D2" s="31"/>
      <c r="E2" s="31"/>
      <c r="F2" s="31"/>
    </row>
    <row r="3" spans="1:6" s="7" customFormat="1" ht="24.95" customHeight="1" thickBot="1" x14ac:dyDescent="0.4">
      <c r="A3" s="6"/>
      <c r="B3" s="8" t="s">
        <v>2</v>
      </c>
      <c r="C3" s="8" t="s">
        <v>3</v>
      </c>
      <c r="D3" s="8" t="s">
        <v>4</v>
      </c>
      <c r="E3" s="26" t="s">
        <v>21</v>
      </c>
      <c r="F3" s="9" t="s">
        <v>16</v>
      </c>
    </row>
    <row r="4" spans="1:6" s="3" customFormat="1" ht="20.100000000000001" customHeight="1" x14ac:dyDescent="0.3">
      <c r="A4" s="1" t="s">
        <v>0</v>
      </c>
      <c r="B4" s="24">
        <v>44486.43</v>
      </c>
      <c r="C4" s="24">
        <v>35759.67</v>
      </c>
      <c r="D4" s="24">
        <v>21142</v>
      </c>
      <c r="E4" s="24">
        <v>1339.61</v>
      </c>
      <c r="F4" s="24">
        <f t="shared" ref="F4:F14" si="0">SUM(B4:E4)</f>
        <v>102727.71</v>
      </c>
    </row>
    <row r="5" spans="1:6" s="3" customFormat="1" ht="20.100000000000001" customHeight="1" x14ac:dyDescent="0.3">
      <c r="A5" s="2" t="s">
        <v>5</v>
      </c>
      <c r="B5" s="25">
        <v>45513.05</v>
      </c>
      <c r="C5" s="25">
        <v>11014.44</v>
      </c>
      <c r="D5" s="25">
        <v>20829.59</v>
      </c>
      <c r="E5" s="24">
        <v>1614.99</v>
      </c>
      <c r="F5" s="24">
        <f t="shared" si="0"/>
        <v>78972.070000000007</v>
      </c>
    </row>
    <row r="6" spans="1:6" s="3" customFormat="1" ht="20.100000000000001" customHeight="1" x14ac:dyDescent="0.3">
      <c r="A6" s="2" t="s">
        <v>6</v>
      </c>
      <c r="B6" s="25">
        <v>42799.08</v>
      </c>
      <c r="C6" s="25">
        <v>7064.46</v>
      </c>
      <c r="D6" s="25">
        <v>20945</v>
      </c>
      <c r="E6" s="24">
        <v>1723.7</v>
      </c>
      <c r="F6" s="24">
        <f t="shared" si="0"/>
        <v>72532.240000000005</v>
      </c>
    </row>
    <row r="7" spans="1:6" ht="20.100000000000001" customHeight="1" x14ac:dyDescent="0.3">
      <c r="A7" s="2" t="s">
        <v>7</v>
      </c>
      <c r="B7" s="25">
        <v>39367.42</v>
      </c>
      <c r="C7" s="25">
        <v>23736.48</v>
      </c>
      <c r="D7" s="25">
        <v>21190.57</v>
      </c>
      <c r="E7" s="24">
        <v>1140.22</v>
      </c>
      <c r="F7" s="24">
        <f t="shared" si="0"/>
        <v>85434.69</v>
      </c>
    </row>
    <row r="8" spans="1:6" ht="20.100000000000001" customHeight="1" x14ac:dyDescent="0.3">
      <c r="A8" s="2" t="s">
        <v>8</v>
      </c>
      <c r="B8" s="25">
        <v>42125.7</v>
      </c>
      <c r="C8" s="25">
        <v>10961.16</v>
      </c>
      <c r="D8" s="25">
        <v>22383.58</v>
      </c>
      <c r="E8" s="24">
        <v>1755.85</v>
      </c>
      <c r="F8" s="24">
        <f t="shared" si="0"/>
        <v>77226.290000000008</v>
      </c>
    </row>
    <row r="9" spans="1:6" ht="20.100000000000001" customHeight="1" x14ac:dyDescent="0.3">
      <c r="A9" s="2" t="s">
        <v>9</v>
      </c>
      <c r="B9" s="25">
        <v>29752.959999999999</v>
      </c>
      <c r="C9" s="25">
        <v>11991.06</v>
      </c>
      <c r="D9" s="25">
        <v>25592.7</v>
      </c>
      <c r="E9" s="24">
        <v>1401.04</v>
      </c>
      <c r="F9" s="24">
        <f t="shared" si="0"/>
        <v>68737.759999999995</v>
      </c>
    </row>
    <row r="10" spans="1:6" ht="20.100000000000001" customHeight="1" x14ac:dyDescent="0.3">
      <c r="A10" s="4" t="s">
        <v>10</v>
      </c>
      <c r="B10" s="25">
        <v>10806.61</v>
      </c>
      <c r="C10" s="25">
        <v>9790.99</v>
      </c>
      <c r="D10" s="25">
        <v>18732.599999999999</v>
      </c>
      <c r="E10" s="24">
        <v>1464.33</v>
      </c>
      <c r="F10" s="24">
        <f t="shared" si="0"/>
        <v>40794.53</v>
      </c>
    </row>
    <row r="11" spans="1:6" ht="20.100000000000001" customHeight="1" x14ac:dyDescent="0.3">
      <c r="A11" s="2" t="s">
        <v>11</v>
      </c>
      <c r="B11" s="25">
        <v>34238.769999999997</v>
      </c>
      <c r="C11" s="25">
        <v>3352.41</v>
      </c>
      <c r="D11" s="25">
        <v>21720</v>
      </c>
      <c r="E11" s="24">
        <v>1403.32</v>
      </c>
      <c r="F11" s="24">
        <f t="shared" si="0"/>
        <v>60714.499999999993</v>
      </c>
    </row>
    <row r="12" spans="1:6" ht="20.100000000000001" customHeight="1" x14ac:dyDescent="0.3">
      <c r="A12" s="2" t="s">
        <v>12</v>
      </c>
      <c r="B12" s="25">
        <v>29029.16</v>
      </c>
      <c r="C12" s="25">
        <v>7228.89</v>
      </c>
      <c r="D12" s="25">
        <v>18751.400000000001</v>
      </c>
      <c r="E12" s="24">
        <v>1643.18</v>
      </c>
      <c r="F12" s="24">
        <f t="shared" si="0"/>
        <v>56652.630000000005</v>
      </c>
    </row>
    <row r="13" spans="1:6" ht="20.100000000000001" customHeight="1" x14ac:dyDescent="0.3">
      <c r="A13" s="2" t="s">
        <v>13</v>
      </c>
      <c r="B13" s="25">
        <v>42899.3</v>
      </c>
      <c r="C13" s="25">
        <v>4554.25</v>
      </c>
      <c r="D13" s="25">
        <v>22940.799999999999</v>
      </c>
      <c r="E13" s="24">
        <v>1483.96</v>
      </c>
      <c r="F13" s="24">
        <f t="shared" si="0"/>
        <v>71878.310000000012</v>
      </c>
    </row>
    <row r="14" spans="1:6" ht="20.100000000000001" customHeight="1" x14ac:dyDescent="0.3">
      <c r="A14" s="2" t="s">
        <v>14</v>
      </c>
      <c r="B14" s="25">
        <v>21106.94</v>
      </c>
      <c r="C14" s="25">
        <v>13076.82</v>
      </c>
      <c r="D14" s="25">
        <v>18872.05</v>
      </c>
      <c r="E14" s="24">
        <v>690.75</v>
      </c>
      <c r="F14" s="24">
        <f t="shared" si="0"/>
        <v>53746.559999999998</v>
      </c>
    </row>
    <row r="15" spans="1:6" ht="20.100000000000001" customHeight="1" x14ac:dyDescent="0.3">
      <c r="A15" s="5" t="s">
        <v>1</v>
      </c>
      <c r="B15" s="25">
        <v>30958.21</v>
      </c>
      <c r="C15" s="25">
        <v>8550.1299999999992</v>
      </c>
      <c r="D15" s="25">
        <v>27166.07</v>
      </c>
      <c r="E15" s="25">
        <v>1328.59</v>
      </c>
      <c r="F15" s="27">
        <f>SUM(B15:E15)</f>
        <v>68003</v>
      </c>
    </row>
    <row r="16" spans="1:6" s="16" customFormat="1" ht="20.100000000000001" customHeight="1" thickBot="1" x14ac:dyDescent="0.4">
      <c r="A16" s="35" t="s">
        <v>15</v>
      </c>
      <c r="B16" s="32">
        <f>SUM(B4:B15)</f>
        <v>413083.63</v>
      </c>
      <c r="C16" s="32">
        <f>SUM(C4:C15)</f>
        <v>147080.76</v>
      </c>
      <c r="D16" s="33">
        <f>SUM(D4:D15)</f>
        <v>260266.36</v>
      </c>
      <c r="E16" s="33">
        <f>SUM(E4:E15)</f>
        <v>16989.54</v>
      </c>
      <c r="F16" s="34">
        <f>SUM(B16:E16)</f>
        <v>837420.29</v>
      </c>
    </row>
    <row r="17" ht="20.100000000000001" customHeight="1" thickTop="1" x14ac:dyDescent="0.25"/>
  </sheetData>
  <pageMargins left="0.25" right="0.25" top="0.75" bottom="0.75" header="0.3" footer="0.3"/>
  <pageSetup scale="85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D6CE-2E53-40AB-B574-00A8D5EAE195}">
  <dimension ref="A1:E15"/>
  <sheetViews>
    <sheetView workbookViewId="0">
      <selection activeCell="C25" sqref="C25"/>
    </sheetView>
  </sheetViews>
  <sheetFormatPr defaultRowHeight="15" x14ac:dyDescent="0.25"/>
  <cols>
    <col min="1" max="1" width="20.7109375" customWidth="1"/>
    <col min="2" max="4" width="19.7109375" style="13" customWidth="1"/>
    <col min="5" max="5" width="21.7109375" style="13" customWidth="1"/>
    <col min="6" max="6" width="20.7109375" customWidth="1"/>
    <col min="7" max="13" width="13.7109375" customWidth="1"/>
  </cols>
  <sheetData>
    <row r="1" spans="1:5" s="7" customFormat="1" ht="24.95" customHeight="1" thickBot="1" x14ac:dyDescent="0.4">
      <c r="A1" s="6" t="s">
        <v>20</v>
      </c>
      <c r="B1" s="8" t="s">
        <v>2</v>
      </c>
      <c r="C1" s="8" t="s">
        <v>3</v>
      </c>
      <c r="D1" s="8" t="s">
        <v>4</v>
      </c>
      <c r="E1" s="9" t="s">
        <v>16</v>
      </c>
    </row>
    <row r="2" spans="1:5" s="3" customFormat="1" ht="20.100000000000001" customHeight="1" x14ac:dyDescent="0.3">
      <c r="A2" s="1" t="s">
        <v>0</v>
      </c>
      <c r="B2" s="10">
        <v>48900.17</v>
      </c>
      <c r="C2" s="10">
        <v>3954.5</v>
      </c>
      <c r="D2" s="10">
        <v>0</v>
      </c>
      <c r="E2" s="10">
        <f t="shared" ref="E2:E12" si="0">SUM(B2:D2)</f>
        <v>52854.67</v>
      </c>
    </row>
    <row r="3" spans="1:5" s="3" customFormat="1" ht="20.100000000000001" customHeight="1" x14ac:dyDescent="0.3">
      <c r="A3" s="2" t="s">
        <v>5</v>
      </c>
      <c r="B3" s="11">
        <v>51810.66</v>
      </c>
      <c r="C3" s="11">
        <v>6403.05</v>
      </c>
      <c r="D3" s="11">
        <v>0</v>
      </c>
      <c r="E3" s="11">
        <f t="shared" si="0"/>
        <v>58213.710000000006</v>
      </c>
    </row>
    <row r="4" spans="1:5" s="3" customFormat="1" ht="20.100000000000001" customHeight="1" x14ac:dyDescent="0.3">
      <c r="A4" s="2" t="s">
        <v>6</v>
      </c>
      <c r="B4" s="11">
        <v>50327.88</v>
      </c>
      <c r="C4" s="11">
        <v>1927.25</v>
      </c>
      <c r="D4" s="11">
        <v>0</v>
      </c>
      <c r="E4" s="11">
        <f t="shared" si="0"/>
        <v>52255.13</v>
      </c>
    </row>
    <row r="5" spans="1:5" ht="20.100000000000001" customHeight="1" x14ac:dyDescent="0.3">
      <c r="A5" s="2" t="s">
        <v>7</v>
      </c>
      <c r="B5" s="11">
        <v>48075.81</v>
      </c>
      <c r="C5" s="11">
        <v>9251.9699999999993</v>
      </c>
      <c r="D5" s="11">
        <v>0</v>
      </c>
      <c r="E5" s="11">
        <f t="shared" si="0"/>
        <v>57327.78</v>
      </c>
    </row>
    <row r="6" spans="1:5" ht="20.100000000000001" customHeight="1" x14ac:dyDescent="0.3">
      <c r="A6" s="2" t="s">
        <v>8</v>
      </c>
      <c r="B6" s="11">
        <v>44598.13</v>
      </c>
      <c r="C6" s="11">
        <v>5761.95</v>
      </c>
      <c r="D6" s="11">
        <v>4818.01</v>
      </c>
      <c r="E6" s="11">
        <f t="shared" si="0"/>
        <v>55178.09</v>
      </c>
    </row>
    <row r="7" spans="1:5" ht="20.100000000000001" customHeight="1" x14ac:dyDescent="0.3">
      <c r="A7" s="2" t="s">
        <v>9</v>
      </c>
      <c r="B7" s="11">
        <v>39118.67</v>
      </c>
      <c r="C7" s="11">
        <v>2449.9499999999998</v>
      </c>
      <c r="D7" s="11">
        <v>13012.31</v>
      </c>
      <c r="E7" s="11">
        <f t="shared" si="0"/>
        <v>54580.929999999993</v>
      </c>
    </row>
    <row r="8" spans="1:5" ht="20.100000000000001" customHeight="1" x14ac:dyDescent="0.3">
      <c r="A8" s="4" t="s">
        <v>10</v>
      </c>
      <c r="B8" s="11">
        <v>42982.52</v>
      </c>
      <c r="C8" s="11">
        <v>8065.5</v>
      </c>
      <c r="D8" s="11">
        <v>19747.45</v>
      </c>
      <c r="E8" s="11">
        <f t="shared" si="0"/>
        <v>70795.47</v>
      </c>
    </row>
    <row r="9" spans="1:5" ht="20.100000000000001" customHeight="1" x14ac:dyDescent="0.3">
      <c r="A9" s="2" t="s">
        <v>11</v>
      </c>
      <c r="B9" s="11">
        <v>40184.589999999997</v>
      </c>
      <c r="C9" s="11">
        <v>7310.2</v>
      </c>
      <c r="D9" s="11">
        <v>17447.599999999999</v>
      </c>
      <c r="E9" s="11">
        <f t="shared" si="0"/>
        <v>64942.389999999992</v>
      </c>
    </row>
    <row r="10" spans="1:5" ht="20.100000000000001" customHeight="1" x14ac:dyDescent="0.3">
      <c r="A10" s="2" t="s">
        <v>12</v>
      </c>
      <c r="B10" s="11">
        <v>33326.31</v>
      </c>
      <c r="C10" s="11">
        <v>168</v>
      </c>
      <c r="D10" s="11">
        <v>17132.02</v>
      </c>
      <c r="E10" s="11">
        <f t="shared" si="0"/>
        <v>50626.33</v>
      </c>
    </row>
    <row r="11" spans="1:5" ht="20.100000000000001" customHeight="1" x14ac:dyDescent="0.3">
      <c r="A11" s="2" t="s">
        <v>13</v>
      </c>
      <c r="B11" s="11">
        <v>44727.24</v>
      </c>
      <c r="C11" s="11">
        <v>12498.76</v>
      </c>
      <c r="D11" s="11">
        <v>28974.69</v>
      </c>
      <c r="E11" s="11">
        <f t="shared" si="0"/>
        <v>86200.69</v>
      </c>
    </row>
    <row r="12" spans="1:5" ht="20.100000000000001" customHeight="1" x14ac:dyDescent="0.3">
      <c r="A12" s="2" t="s">
        <v>14</v>
      </c>
      <c r="B12" s="11">
        <v>0</v>
      </c>
      <c r="C12" s="11">
        <v>0</v>
      </c>
      <c r="D12" s="11">
        <v>21609.58</v>
      </c>
      <c r="E12" s="11">
        <f t="shared" si="0"/>
        <v>21609.58</v>
      </c>
    </row>
    <row r="13" spans="1:5" ht="20.100000000000001" customHeight="1" thickBot="1" x14ac:dyDescent="0.35">
      <c r="A13" s="5" t="s">
        <v>1</v>
      </c>
      <c r="B13" s="12"/>
      <c r="C13" s="12"/>
      <c r="D13" s="12"/>
      <c r="E13" s="12"/>
    </row>
    <row r="14" spans="1:5" s="16" customFormat="1" ht="20.100000000000001" customHeight="1" thickBot="1" x14ac:dyDescent="0.4">
      <c r="A14" s="14" t="s">
        <v>15</v>
      </c>
      <c r="B14" s="15">
        <f>SUM(B2:B13)</f>
        <v>444051.98000000004</v>
      </c>
      <c r="C14" s="15">
        <f>SUM(C2:C13)</f>
        <v>57791.13</v>
      </c>
      <c r="D14" s="17">
        <f>SUM(D2:D13)</f>
        <v>122741.66</v>
      </c>
      <c r="E14" s="18">
        <f>SUM(B14:D14)</f>
        <v>624584.77</v>
      </c>
    </row>
    <row r="15" spans="1:5" ht="20.100000000000001" customHeight="1" x14ac:dyDescent="0.25"/>
  </sheetData>
  <pageMargins left="0.2" right="0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475BC-E5D8-4C83-844D-109DCE0866B2}">
  <dimension ref="A1:E8"/>
  <sheetViews>
    <sheetView workbookViewId="0">
      <selection activeCell="C18" sqref="C18"/>
    </sheetView>
  </sheetViews>
  <sheetFormatPr defaultRowHeight="15" x14ac:dyDescent="0.25"/>
  <cols>
    <col min="1" max="4" width="26.7109375" style="13" customWidth="1"/>
    <col min="5" max="5" width="20.7109375" customWidth="1"/>
    <col min="6" max="12" width="13.7109375" customWidth="1"/>
  </cols>
  <sheetData>
    <row r="1" spans="1:5" ht="32.25" customHeight="1" x14ac:dyDescent="0.45">
      <c r="A1" s="19" t="s">
        <v>17</v>
      </c>
    </row>
    <row r="2" spans="1:5" ht="19.5" thickBot="1" x14ac:dyDescent="0.3">
      <c r="A2" s="22" t="s">
        <v>18</v>
      </c>
    </row>
    <row r="3" spans="1:5" s="7" customFormat="1" ht="24.95" customHeight="1" thickBot="1" x14ac:dyDescent="0.4">
      <c r="A3" s="8" t="s">
        <v>2</v>
      </c>
      <c r="B3" s="8" t="s">
        <v>3</v>
      </c>
      <c r="C3" s="8" t="s">
        <v>19</v>
      </c>
      <c r="D3" s="8" t="s">
        <v>4</v>
      </c>
    </row>
    <row r="4" spans="1:5" s="3" customFormat="1" ht="20.100000000000001" customHeight="1" x14ac:dyDescent="0.3">
      <c r="A4" s="10">
        <v>172103.98</v>
      </c>
      <c r="B4" s="10">
        <v>68072.02</v>
      </c>
      <c r="C4" s="10">
        <v>7222.5</v>
      </c>
      <c r="D4" s="10">
        <v>84107.16</v>
      </c>
    </row>
    <row r="5" spans="1:5" s="3" customFormat="1" ht="20.100000000000001" customHeight="1" x14ac:dyDescent="0.3">
      <c r="A5" s="11"/>
      <c r="B5" s="11"/>
      <c r="C5" s="11"/>
      <c r="D5" s="11"/>
    </row>
    <row r="6" spans="1:5" ht="20.100000000000001" customHeight="1" thickBot="1" x14ac:dyDescent="0.35">
      <c r="A6" s="12"/>
      <c r="B6" s="12"/>
      <c r="C6" s="12"/>
      <c r="D6" s="12"/>
    </row>
    <row r="7" spans="1:5" s="16" customFormat="1" ht="20.100000000000001" customHeight="1" thickBot="1" x14ac:dyDescent="0.4">
      <c r="A7" s="20">
        <f>SUM(A4:A6)</f>
        <v>172103.98</v>
      </c>
      <c r="B7" s="15">
        <f>SUM(B4:B6)</f>
        <v>68072.02</v>
      </c>
      <c r="C7" s="17">
        <f>SUM(C4:C6)</f>
        <v>7222.5</v>
      </c>
      <c r="D7" s="21">
        <f>SUM(D4:D6)</f>
        <v>84107.16</v>
      </c>
      <c r="E7" s="23">
        <f>SUM(A7:D7)</f>
        <v>331505.66000000003</v>
      </c>
    </row>
    <row r="8" spans="1:5" ht="20.100000000000001" customHeight="1" x14ac:dyDescent="0.25"/>
  </sheetData>
  <pageMargins left="0.45" right="0.2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FY2425</vt:lpstr>
      <vt:lpstr>FY2324</vt:lpstr>
      <vt:lpstr>FY2223</vt:lpstr>
      <vt:lpstr>FY2122</vt:lpstr>
      <vt:lpstr>FY2223 ytd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Wiley Contrades</dc:creator>
  <cp:lastModifiedBy>Eta-starr Edwardsen</cp:lastModifiedBy>
  <cp:lastPrinted>2025-06-18T22:30:36Z</cp:lastPrinted>
  <dcterms:created xsi:type="dcterms:W3CDTF">2021-04-20T17:55:26Z</dcterms:created>
  <dcterms:modified xsi:type="dcterms:W3CDTF">2025-06-18T23:20:06Z</dcterms:modified>
</cp:coreProperties>
</file>